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12120" windowHeight="8340" activeTab="0"/>
  </bookViews>
  <sheets>
    <sheet name="Assmptns" sheetId="1" r:id="rId1"/>
    <sheet name="CashflowIncTax" sheetId="2" r:id="rId2"/>
  </sheets>
  <definedNames>
    <definedName name="_xlnm.Print_Area" localSheetId="0">'Assmptns'!$A$1:$J$120</definedName>
    <definedName name="_xlnm.Print_Area" localSheetId="1">'CashflowIncTax'!$A$28:$J$63</definedName>
  </definedNames>
  <calcPr fullCalcOnLoad="1"/>
</workbook>
</file>

<file path=xl/sharedStrings.xml><?xml version="1.0" encoding="utf-8"?>
<sst xmlns="http://schemas.openxmlformats.org/spreadsheetml/2006/main" count="277" uniqueCount="150">
  <si>
    <t>Value of family and regular labor ($/hr)</t>
  </si>
  <si>
    <t>Seed Corn</t>
  </si>
  <si>
    <t>Dryland</t>
  </si>
  <si>
    <t>Irrigated</t>
  </si>
  <si>
    <t>Soybeans</t>
  </si>
  <si>
    <t xml:space="preserve">Irrigated </t>
  </si>
  <si>
    <t>Soys</t>
  </si>
  <si>
    <t>Seed</t>
  </si>
  <si>
    <t>Chemicals</t>
  </si>
  <si>
    <t>Repairs</t>
  </si>
  <si>
    <t>Utilities</t>
  </si>
  <si>
    <t>per Unit</t>
  </si>
  <si>
    <t>Labor Hours</t>
  </si>
  <si>
    <t>Total Variable</t>
  </si>
  <si>
    <t>Dry Year</t>
  </si>
  <si>
    <t>Wet Year</t>
  </si>
  <si>
    <t>Average Year</t>
  </si>
  <si>
    <t>NA</t>
  </si>
  <si>
    <t>Com. Corn</t>
  </si>
  <si>
    <t>Gross Income</t>
  </si>
  <si>
    <t>Dry Land Crop Rotation</t>
  </si>
  <si>
    <t>Percentage of Rotation</t>
  </si>
  <si>
    <t xml:space="preserve">Trucking </t>
  </si>
  <si>
    <t xml:space="preserve">Marketing </t>
  </si>
  <si>
    <t>Gross Margin Per Crop</t>
  </si>
  <si>
    <t>Fertilizer</t>
  </si>
  <si>
    <t>Labor</t>
  </si>
  <si>
    <t>G. Margin Per Rotation</t>
  </si>
  <si>
    <t>Gross Margin With Rotation and Probability</t>
  </si>
  <si>
    <t>Gross Margin Benefit with Irrigation</t>
  </si>
  <si>
    <t>==============================================================</t>
  </si>
  <si>
    <t>VALUE</t>
  </si>
  <si>
    <t>*** CAPITAL COST AND LOAN INFORMATION ***</t>
  </si>
  <si>
    <t>____________</t>
  </si>
  <si>
    <t>150% DEPRECIATION RATE</t>
  </si>
  <si>
    <t>1.YEAR PURCHASED ?______________________________________</t>
  </si>
  <si>
    <t>PAYMENT</t>
  </si>
  <si>
    <t>--------------------------------------------</t>
  </si>
  <si>
    <t>-----------------------------------------------------</t>
  </si>
  <si>
    <t>2.CASH PURCHASE PRICE ? _______________________________</t>
  </si>
  <si>
    <t xml:space="preserve">   YEAR</t>
  </si>
  <si>
    <t>PRINC.</t>
  </si>
  <si>
    <t>INT</t>
  </si>
  <si>
    <t>3-YR</t>
  </si>
  <si>
    <t>5-YR</t>
  </si>
  <si>
    <t>7-YR</t>
  </si>
  <si>
    <t>10-yr</t>
  </si>
  <si>
    <t xml:space="preserve">  20-yr</t>
  </si>
  <si>
    <t xml:space="preserve"> 3-YR</t>
  </si>
  <si>
    <t xml:space="preserve"> 5-YR</t>
  </si>
  <si>
    <t xml:space="preserve">  ADS-SL</t>
  </si>
  <si>
    <t>3.ORIGINAL COST BASIS OF ITEM PURCHASED ? ______________</t>
  </si>
  <si>
    <t>*** INCOME TAX INFORMATION ***</t>
  </si>
  <si>
    <t>11.MARGINAL INCOME TAX RATE? (Fed,State, &amp; Soc Sec)__________</t>
  </si>
  <si>
    <t>12."MACRS" PROPERTY CLASS ? (3,5,7,10,or 20yrs) __________</t>
  </si>
  <si>
    <t>13."ADS-SL" YEARS ? (3,5,7,10,15,20,or 25yrs)___________</t>
  </si>
  <si>
    <t>14.DEPRECIATION METHOD ? (1=MACRS or 2=ADS-SL) _______________</t>
  </si>
  <si>
    <t>16.OPPORTUNITY COST OF CAPITAL ? ________________________</t>
  </si>
  <si>
    <t>========================================================================</t>
  </si>
  <si>
    <t xml:space="preserve">   CASH OUTFLOW</t>
  </si>
  <si>
    <t>NPV</t>
  </si>
  <si>
    <t xml:space="preserve"> </t>
  </si>
  <si>
    <t>PRINCI-</t>
  </si>
  <si>
    <t xml:space="preserve">INCOME </t>
  </si>
  <si>
    <t xml:space="preserve">   ------------</t>
  </si>
  <si>
    <t>AFTER-TAX</t>
  </si>
  <si>
    <t>PAL</t>
  </si>
  <si>
    <t>INTEREST</t>
  </si>
  <si>
    <t>DEPRECI-</t>
  </si>
  <si>
    <t>TAX</t>
  </si>
  <si>
    <t>BEFORE</t>
  </si>
  <si>
    <t>AFTER</t>
  </si>
  <si>
    <t>CASH</t>
  </si>
  <si>
    <t>YEAR</t>
  </si>
  <si>
    <t>ATION</t>
  </si>
  <si>
    <t>SAVINGS</t>
  </si>
  <si>
    <t>------------</t>
  </si>
  <si>
    <t>TOTAL</t>
  </si>
  <si>
    <t>==========================================================================</t>
  </si>
  <si>
    <t>Yields</t>
  </si>
  <si>
    <t>Acre Inches</t>
  </si>
  <si>
    <t>Price per Bu</t>
  </si>
  <si>
    <t>Must = 100%</t>
  </si>
  <si>
    <t>15. Additional First Year Depreciation (179,30%,50%) for Purchase Option</t>
  </si>
  <si>
    <t>Labor Hours(not including Irrigation hours)</t>
  </si>
  <si>
    <t>Variable Expenses</t>
  </si>
  <si>
    <t>Crops to be grown</t>
  </si>
  <si>
    <t>With Irrigation Crop Rotation</t>
  </si>
  <si>
    <t>Includes Energy and Labor Cost</t>
  </si>
  <si>
    <t>Sub Totals</t>
  </si>
  <si>
    <t>Totals</t>
  </si>
  <si>
    <t>"MACRS" Property Class? (3,5,7,10,or 20yrs)</t>
  </si>
  <si>
    <t>Depreciation Method ? (1=MACRS or 2=ADS-SL)</t>
  </si>
  <si>
    <t>Opportunity Cost of Capital?</t>
  </si>
  <si>
    <t>"ADS-SL" Years? (3,5,7,10,15,20,or 25yrs)</t>
  </si>
  <si>
    <t>Marginal Income Tax Rate? (Fed,State, &amp; Soc Sec)</t>
  </si>
  <si>
    <t>*** CROP PRODUCTION INFORMATION ***</t>
  </si>
  <si>
    <t>Year Purchased?</t>
  </si>
  <si>
    <t>Loan Terms in Years? (20 years or less)</t>
  </si>
  <si>
    <t>OUTFLOW</t>
  </si>
  <si>
    <t>NET PRESENT VALUE AFTER TAX NET CASH FLOW &gt;&gt;&gt;&gt;&gt;</t>
  </si>
  <si>
    <t>Life of System in Years and Assumptions? (25 years or less)</t>
  </si>
  <si>
    <t>TABLE 1.  PURCHASE AND INCOME TAX INPUT INFORMATION</t>
  </si>
  <si>
    <t>CAPITAL PURCHASE ANALYSIS -  25 YEARS OR LESS</t>
  </si>
  <si>
    <t>CAPITAL ITEM:</t>
  </si>
  <si>
    <t>160 Acre Irrigation System</t>
  </si>
  <si>
    <t>Additional First Year Depreciation? (Sec179,30%,50%)</t>
  </si>
  <si>
    <t>Variable Cost per Acre Inch of Water</t>
  </si>
  <si>
    <t>All Acres</t>
  </si>
  <si>
    <t>LAST YEAR OF INVESTMENT</t>
  </si>
  <si>
    <t>IRRIGATION</t>
  </si>
  <si>
    <t>TABLE 2.  CASH FLOW FOR THE PURCHASE OF THE :</t>
  </si>
  <si>
    <t>G. MARGIN</t>
  </si>
  <si>
    <t>WEIGHTED</t>
  </si>
  <si>
    <t>DEPRECIATION AMOUNT FOR THE PURCHASE</t>
  </si>
  <si>
    <t>Purchase Price for Entire System Installed?</t>
  </si>
  <si>
    <t>Annual Interest Rate for Borrowed money?</t>
  </si>
  <si>
    <t>Salvage Value of Investment at End of Evaluated Time Period?</t>
  </si>
  <si>
    <t>SALVAGE</t>
  </si>
  <si>
    <t>1-margin tax braket x 8 opportunity cost</t>
  </si>
  <si>
    <t>Irrigated Acres System Covers?</t>
  </si>
  <si>
    <t>This value should include 1. the desired Return on Assets, and 2. a Risk Premium</t>
  </si>
  <si>
    <t>A negative NPV indicates a return less than the desired opportunity cost of capital</t>
  </si>
  <si>
    <t>Custom Harvesting</t>
  </si>
  <si>
    <t>Tillable Acres with out Irrigation</t>
  </si>
  <si>
    <t>per irrigated Acre</t>
  </si>
  <si>
    <t>4. SIZE OF LOAN</t>
  </si>
  <si>
    <t>5.ANNUAL INTEREST RATE ON LOAN ? (.102 = 10.2%)___________________</t>
  </si>
  <si>
    <t>6.LOAN TERM IN YEARS ? (20 years or less) ______________</t>
  </si>
  <si>
    <t>7.LIFE OF INVESTMENT? 25 years or less</t>
  </si>
  <si>
    <t>Beg Value</t>
  </si>
  <si>
    <t>17 After Tax Opportunity Cost of Capital</t>
  </si>
  <si>
    <t>Beginning</t>
  </si>
  <si>
    <t>Amount of Purchase Price Borrowed?</t>
  </si>
  <si>
    <t>Rotation</t>
  </si>
  <si>
    <t>Probability</t>
  </si>
  <si>
    <t>Drying cost per Bu</t>
  </si>
  <si>
    <t>Net Present Value Discounted After Tax Cash Flow =</t>
  </si>
  <si>
    <t>Before Tax</t>
  </si>
  <si>
    <t>After Tax</t>
  </si>
  <si>
    <t>Irrigation Energy &amp; Labor</t>
  </si>
  <si>
    <t>Fuel &amp; Oil</t>
  </si>
  <si>
    <t xml:space="preserve">A Positive NPV indicates that the investment (over the life of the investemnt) returned higher than the desired opportunity cost of capital </t>
  </si>
  <si>
    <t>Internal Rate of Return Before Tax</t>
  </si>
  <si>
    <t>Internal Rate of Return After Tax</t>
  </si>
  <si>
    <t>IRR</t>
  </si>
  <si>
    <t>Per Irr. Acre Investment</t>
  </si>
  <si>
    <t>Irrigation Rotation</t>
  </si>
  <si>
    <t>DryLand Rotation</t>
  </si>
  <si>
    <t>Geen Beans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</si>
</sst>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\ ;\(&quot;$&quot;#,##0.000\)"/>
    <numFmt numFmtId="165" formatCode="0.0%"/>
    <numFmt numFmtId="166" formatCode="0.0000"/>
    <numFmt numFmtId="167" formatCode="&quot;$&quot;#,##0.00"/>
    <numFmt numFmtId="168" formatCode="&quot;$&quot;#,##0.0000"/>
    <numFmt numFmtId="169" formatCode="0.0"/>
    <numFmt numFmtId="170" formatCode="#,##0.0"/>
    <numFmt numFmtId="171" formatCode="0.00_)"/>
    <numFmt numFmtId="172" formatCode="#,##0;[Red]#,##0"/>
    <numFmt numFmtId="173" formatCode="0;[Red]0"/>
    <numFmt numFmtId="174" formatCode="0_);\(0\)"/>
    <numFmt numFmtId="175" formatCode="#,##0.0_);\(#,##0.0\)"/>
    <numFmt numFmtId="176" formatCode="0.0_);\(0.0\)"/>
    <numFmt numFmtId="177" formatCode="[$-409]h:mm:ss\ AM/PM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10" fontId="0" fillId="0" borderId="0">
      <alignment/>
      <protection/>
    </xf>
    <xf numFmtId="0" fontId="0" fillId="0" borderId="1">
      <alignment/>
      <protection/>
    </xf>
  </cellStyleXfs>
  <cellXfs count="125">
    <xf numFmtId="0" fontId="0" fillId="0" borderId="0" xfId="0" applyAlignment="1">
      <alignment/>
    </xf>
    <xf numFmtId="5" fontId="0" fillId="0" borderId="0" xfId="18">
      <alignment/>
      <protection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5" fontId="9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65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5" fontId="3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18" applyFo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5" fontId="3" fillId="0" borderId="0" xfId="0" applyNumberFormat="1" applyFont="1" applyAlignment="1" applyProtection="1" quotePrefix="1">
      <alignment horizontal="center"/>
      <protection/>
    </xf>
    <xf numFmtId="5" fontId="11" fillId="0" borderId="2" xfId="0" applyNumberFormat="1" applyFont="1" applyBorder="1" applyAlignment="1" applyProtection="1">
      <alignment/>
      <protection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" fontId="2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7" fontId="0" fillId="0" borderId="0" xfId="24" applyNumberFormat="1" applyFont="1" applyAlignment="1" applyProtection="1">
      <alignment/>
      <protection/>
    </xf>
    <xf numFmtId="7" fontId="0" fillId="0" borderId="0" xfId="0" applyNumberFormat="1" applyAlignment="1">
      <alignment/>
    </xf>
    <xf numFmtId="5" fontId="3" fillId="0" borderId="0" xfId="0" applyNumberFormat="1" applyFont="1" applyAlignment="1" applyProtection="1">
      <alignment horizontal="center"/>
      <protection/>
    </xf>
    <xf numFmtId="5" fontId="0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167" fontId="0" fillId="0" borderId="7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74" fontId="0" fillId="2" borderId="0" xfId="17" applyNumberFormat="1" applyAlignment="1" applyProtection="1">
      <alignment horizontal="center"/>
      <protection locked="0"/>
    </xf>
    <xf numFmtId="5" fontId="0" fillId="2" borderId="0" xfId="17" applyNumberFormat="1" applyAlignment="1" applyProtection="1">
      <alignment horizontal="center"/>
      <protection locked="0"/>
    </xf>
    <xf numFmtId="176" fontId="0" fillId="2" borderId="0" xfId="17" applyNumberFormat="1" applyAlignment="1" applyProtection="1">
      <alignment horizontal="center"/>
      <protection locked="0"/>
    </xf>
    <xf numFmtId="165" fontId="0" fillId="2" borderId="0" xfId="17" applyNumberFormat="1" applyAlignment="1" applyProtection="1">
      <alignment horizontal="center"/>
      <protection locked="0"/>
    </xf>
    <xf numFmtId="7" fontId="0" fillId="2" borderId="0" xfId="17" applyNumberForma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Alignment="1">
      <alignment horizontal="center"/>
    </xf>
    <xf numFmtId="5" fontId="0" fillId="0" borderId="0" xfId="18" applyAlignment="1">
      <alignment horizontal="center"/>
      <protection/>
    </xf>
    <xf numFmtId="0" fontId="0" fillId="0" borderId="0" xfId="0" applyAlignment="1">
      <alignment horizontal="left"/>
    </xf>
    <xf numFmtId="176" fontId="0" fillId="2" borderId="0" xfId="17" applyNumberFormat="1" applyBorder="1" applyAlignment="1" applyProtection="1">
      <alignment horizontal="center"/>
      <protection locked="0"/>
    </xf>
    <xf numFmtId="176" fontId="0" fillId="2" borderId="8" xfId="17" applyNumberFormat="1" applyBorder="1" applyAlignment="1" applyProtection="1">
      <alignment horizontal="center"/>
      <protection locked="0"/>
    </xf>
    <xf numFmtId="176" fontId="0" fillId="2" borderId="9" xfId="17" applyNumberFormat="1" applyBorder="1" applyAlignment="1" applyProtection="1">
      <alignment horizontal="center"/>
      <protection locked="0"/>
    </xf>
    <xf numFmtId="176" fontId="0" fillId="2" borderId="10" xfId="17" applyNumberForma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65" fontId="0" fillId="2" borderId="12" xfId="17" applyNumberFormat="1" applyBorder="1" applyAlignment="1" applyProtection="1">
      <alignment horizontal="center"/>
      <protection locked="0"/>
    </xf>
    <xf numFmtId="165" fontId="0" fillId="2" borderId="12" xfId="17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5" fontId="0" fillId="0" borderId="0" xfId="0" applyNumberFormat="1" applyAlignment="1">
      <alignment/>
    </xf>
    <xf numFmtId="9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0" fontId="2" fillId="0" borderId="3" xfId="0" applyNumberFormat="1" applyFont="1" applyBorder="1" applyAlignment="1">
      <alignment/>
    </xf>
    <xf numFmtId="1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174" fontId="2" fillId="2" borderId="0" xfId="17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@if((AD11-AE11)&gt;0,(ad11-ae11),0)" TargetMode="External" /><Relationship Id="rId2" Type="http://schemas.openxmlformats.org/officeDocument/2006/relationships/hyperlink" Target="mailto:=@if((AD$9-AF13)&gt;ad13,9999,8888)" TargetMode="External" /><Relationship Id="rId3" Type="http://schemas.openxmlformats.org/officeDocument/2006/relationships/hyperlink" Target="mailto:=@if((AD11-AE11)&gt;0,(ad11-ae11),0)" TargetMode="External" /><Relationship Id="rId4" Type="http://schemas.openxmlformats.org/officeDocument/2006/relationships/hyperlink" Target="mailto:=@if((AD11-AE11)&gt;0,(ad11-ae11),0)" TargetMode="External" /><Relationship Id="rId5" Type="http://schemas.openxmlformats.org/officeDocument/2006/relationships/hyperlink" Target="mailto:=@if((AD11-AE11)&gt;0,(ad11-ae11),0)" TargetMode="External" /><Relationship Id="rId6" Type="http://schemas.openxmlformats.org/officeDocument/2006/relationships/hyperlink" Target="mailto:=@if((AD11-AE11)&gt;0,(ad11-ae11),0)" TargetMode="External" /><Relationship Id="rId7" Type="http://schemas.openxmlformats.org/officeDocument/2006/relationships/hyperlink" Target="mailto:=@if((AD11-AE11)&gt;0,(ad11-ae11),0)" TargetMode="External" /><Relationship Id="rId8" Type="http://schemas.openxmlformats.org/officeDocument/2006/relationships/hyperlink" Target="mailto:=@if((AD11-AE11)&gt;0,(ad11-ae11),0)" TargetMode="External" /><Relationship Id="rId9" Type="http://schemas.openxmlformats.org/officeDocument/2006/relationships/hyperlink" Target="mailto:=@if((AD11-AE11)&gt;0,(ad11-ae11),0)" TargetMode="External" /><Relationship Id="rId10" Type="http://schemas.openxmlformats.org/officeDocument/2006/relationships/hyperlink" Target="mailto:=@if((AD11-AE11)&gt;0,(ad11-ae11),0)" TargetMode="External" /><Relationship Id="rId11" Type="http://schemas.openxmlformats.org/officeDocument/2006/relationships/hyperlink" Target="mailto:=@if((AD11-AE11)&gt;0,(ad11-ae11),0)" TargetMode="External" /><Relationship Id="rId12" Type="http://schemas.openxmlformats.org/officeDocument/2006/relationships/hyperlink" Target="mailto:=@if((AD11-AE11)&gt;0,(ad11-ae11),0)" TargetMode="External" /><Relationship Id="rId13" Type="http://schemas.openxmlformats.org/officeDocument/2006/relationships/hyperlink" Target="mailto:=@if((AD11-AE11)&gt;0,(ad11-ae11),0)" TargetMode="External" /><Relationship Id="rId14" Type="http://schemas.openxmlformats.org/officeDocument/2006/relationships/hyperlink" Target="mailto:=@if((AD11-AE11)&gt;0,(ad11-ae11),0)" TargetMode="External" /><Relationship Id="rId15" Type="http://schemas.openxmlformats.org/officeDocument/2006/relationships/hyperlink" Target="mailto:=@if((AD11-AE11)&gt;0,(ad11-ae11),0)" TargetMode="External" /><Relationship Id="rId16" Type="http://schemas.openxmlformats.org/officeDocument/2006/relationships/hyperlink" Target="mailto:=@if((AD11-AE11)&gt;0,(ad11-ae11),0)" TargetMode="External" /><Relationship Id="rId17" Type="http://schemas.openxmlformats.org/officeDocument/2006/relationships/hyperlink" Target="mailto:=@if((AD11-AE11)&gt;0,(ad11-ae11),0)" TargetMode="External" /><Relationship Id="rId18" Type="http://schemas.openxmlformats.org/officeDocument/2006/relationships/hyperlink" Target="mailto:=@if((AD11-AE11)&gt;0,(ad11-ae11),0)" TargetMode="External" /><Relationship Id="rId19" Type="http://schemas.openxmlformats.org/officeDocument/2006/relationships/hyperlink" Target="mailto:=@if((AD11-AE11)&gt;0,(ad11-ae11),0)" TargetMode="External" /><Relationship Id="rId20" Type="http://schemas.openxmlformats.org/officeDocument/2006/relationships/hyperlink" Target="mailto:=@if((AD11-AE11)&gt;0,(ad11-ae11),0)" TargetMode="External" /><Relationship Id="rId21" Type="http://schemas.openxmlformats.org/officeDocument/2006/relationships/hyperlink" Target="mailto:=@if((AD11-AE11)&gt;0,(ad11-ae11),0)" TargetMode="External" /><Relationship Id="rId22" Type="http://schemas.openxmlformats.org/officeDocument/2006/relationships/hyperlink" Target="mailto:=@if((AD11-AE11)&gt;0,(ad11-ae11),0)" TargetMode="External" /><Relationship Id="rId23" Type="http://schemas.openxmlformats.org/officeDocument/2006/relationships/hyperlink" Target="mailto:=@if((AD11-AE11)&gt;0,(ad11-ae11),0)" TargetMode="External" /><Relationship Id="rId24" Type="http://schemas.openxmlformats.org/officeDocument/2006/relationships/hyperlink" Target="mailto:=@if((AD11-AE11)&gt;0,(ad11-ae11),0)" TargetMode="External" /><Relationship Id="rId25" Type="http://schemas.openxmlformats.org/officeDocument/2006/relationships/hyperlink" Target="mailto:=@if((AD11-AE11)&gt;0,(ad11-ae11),0)" TargetMode="External" /><Relationship Id="rId26" Type="http://schemas.openxmlformats.org/officeDocument/2006/relationships/hyperlink" Target="mailto:=@if((AD11-AE11)&gt;0,(ad11-ae11),0)" TargetMode="External" /><Relationship Id="rId27" Type="http://schemas.openxmlformats.org/officeDocument/2006/relationships/hyperlink" Target="mailto:=@if((AD$9-AF13)&gt;ad13,9999,8888)" TargetMode="External" /><Relationship Id="rId28" Type="http://schemas.openxmlformats.org/officeDocument/2006/relationships/hyperlink" Target="mailto:=@if((AD$9-AF13)&gt;ad13,9999,8888)" TargetMode="External" /><Relationship Id="rId29" Type="http://schemas.openxmlformats.org/officeDocument/2006/relationships/hyperlink" Target="mailto:=@if((AD$9-AF13)&gt;ad13,9999,8888)" TargetMode="External" /><Relationship Id="rId30" Type="http://schemas.openxmlformats.org/officeDocument/2006/relationships/hyperlink" Target="mailto:=@if((AD$9-AF13)&gt;ad13,9999,8888)" TargetMode="External" /><Relationship Id="rId31" Type="http://schemas.openxmlformats.org/officeDocument/2006/relationships/hyperlink" Target="mailto:=@if((AD$9-AF13)&gt;ad13,9999,8888)" TargetMode="External" /><Relationship Id="rId32" Type="http://schemas.openxmlformats.org/officeDocument/2006/relationships/hyperlink" Target="mailto:=@if((AD$9-AF13)&gt;ad13,9999,8888)" TargetMode="External" /><Relationship Id="rId33" Type="http://schemas.openxmlformats.org/officeDocument/2006/relationships/hyperlink" Target="mailto:=@if((AD$9-AF13)&gt;ad13,9999,8888)" TargetMode="External" /><Relationship Id="rId34" Type="http://schemas.openxmlformats.org/officeDocument/2006/relationships/hyperlink" Target="mailto:=@if((AD$9-AF13)&gt;ad13,9999,8888)" TargetMode="External" /><Relationship Id="rId35" Type="http://schemas.openxmlformats.org/officeDocument/2006/relationships/hyperlink" Target="mailto:=@if((AD$9-AF13)&gt;ad13,9999,8888)" TargetMode="External" /><Relationship Id="rId36" Type="http://schemas.openxmlformats.org/officeDocument/2006/relationships/hyperlink" Target="mailto:=@if((AD$9-AF13)&gt;ad13,9999,8888)" TargetMode="External" /><Relationship Id="rId37" Type="http://schemas.openxmlformats.org/officeDocument/2006/relationships/hyperlink" Target="mailto:=@if((AD$9-AF13)&gt;ad13,9999,8888)" TargetMode="External" /><Relationship Id="rId38" Type="http://schemas.openxmlformats.org/officeDocument/2006/relationships/hyperlink" Target="mailto:=@if((AD$9-AF13)&gt;ad13,9999,8888)" TargetMode="External" /><Relationship Id="rId39" Type="http://schemas.openxmlformats.org/officeDocument/2006/relationships/hyperlink" Target="mailto:=@if((AD$9-AF13)&gt;ad13,9999,8888)" TargetMode="External" /><Relationship Id="rId40" Type="http://schemas.openxmlformats.org/officeDocument/2006/relationships/hyperlink" Target="mailto:=@if((AD$9-AF13)&gt;ad13,9999,8888)" TargetMode="External" /><Relationship Id="rId41" Type="http://schemas.openxmlformats.org/officeDocument/2006/relationships/hyperlink" Target="mailto:=@if((AD$9-AF13)&gt;ad13,9999,8888)" TargetMode="External" /><Relationship Id="rId42" Type="http://schemas.openxmlformats.org/officeDocument/2006/relationships/hyperlink" Target="mailto:=@if((AD$9-AF13)&gt;ad13,9999,8888)" TargetMode="External" /><Relationship Id="rId43" Type="http://schemas.openxmlformats.org/officeDocument/2006/relationships/hyperlink" Target="mailto:=@if((AD$9-AF13)&gt;ad13,9999,8888)" TargetMode="External" /><Relationship Id="rId44" Type="http://schemas.openxmlformats.org/officeDocument/2006/relationships/hyperlink" Target="mailto:=@if((AD$9-AF13)&gt;ad13,9999,8888)" TargetMode="External" /><Relationship Id="rId45" Type="http://schemas.openxmlformats.org/officeDocument/2006/relationships/hyperlink" Target="mailto:=@if((AD$9-AF13)&gt;ad13,9999,8888)" TargetMode="External" /><Relationship Id="rId46" Type="http://schemas.openxmlformats.org/officeDocument/2006/relationships/hyperlink" Target="mailto:=@if((AD$9-AF13)&gt;ad13,9999,8888)" TargetMode="External" /><Relationship Id="rId47" Type="http://schemas.openxmlformats.org/officeDocument/2006/relationships/hyperlink" Target="mailto:=@if((AD$9-AF13)&gt;ad13,9999,8888)" TargetMode="External" /><Relationship Id="rId48" Type="http://schemas.openxmlformats.org/officeDocument/2006/relationships/hyperlink" Target="mailto:=@if((AD$9-AF13)&gt;ad13,9999,8888)" TargetMode="External" /><Relationship Id="rId49" Type="http://schemas.openxmlformats.org/officeDocument/2006/relationships/hyperlink" Target="mailto:=@if((AD$9-AF13)&gt;ad13,9999,8888)" TargetMode="External" /><Relationship Id="rId50" Type="http://schemas.openxmlformats.org/officeDocument/2006/relationships/hyperlink" Target="mailto:=@if((AD$9-AF13)&gt;ad13,9999,8888)" TargetMode="External" /><Relationship Id="rId5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SheetLayoutView="150" workbookViewId="0" topLeftCell="A1">
      <selection activeCell="H34" sqref="H34"/>
    </sheetView>
  </sheetViews>
  <sheetFormatPr defaultColWidth="9.140625" defaultRowHeight="12.75"/>
  <cols>
    <col min="1" max="1" width="3.00390625" style="0" customWidth="1"/>
    <col min="2" max="2" width="44.00390625" style="0" customWidth="1"/>
    <col min="3" max="4" width="10.7109375" style="0" customWidth="1"/>
    <col min="5" max="5" width="10.7109375" style="1" customWidth="1"/>
    <col min="6" max="6" width="2.140625" style="0" customWidth="1"/>
    <col min="7" max="7" width="10.7109375" style="0" customWidth="1"/>
    <col min="8" max="8" width="11.7109375" style="0" customWidth="1"/>
    <col min="9" max="9" width="10.7109375" style="0" customWidth="1"/>
    <col min="10" max="10" width="5.421875" style="0" customWidth="1"/>
    <col min="11" max="11" width="5.00390625" style="0" customWidth="1"/>
    <col min="12" max="14" width="10.7109375" style="0" customWidth="1"/>
  </cols>
  <sheetData>
    <row r="1" spans="1:8" ht="15.75">
      <c r="A1" s="47"/>
      <c r="B1" s="122" t="s">
        <v>105</v>
      </c>
      <c r="C1" s="123"/>
      <c r="D1" s="123"/>
      <c r="E1" s="124"/>
      <c r="F1" s="10"/>
      <c r="G1" s="10"/>
      <c r="H1" s="10"/>
    </row>
    <row r="2" spans="1:8" ht="12.75">
      <c r="A2" s="10"/>
      <c r="B2" s="47"/>
      <c r="C2" s="10"/>
      <c r="D2" s="10"/>
      <c r="E2" s="49"/>
      <c r="F2" s="10"/>
      <c r="G2" s="10"/>
      <c r="H2" s="10"/>
    </row>
    <row r="3" spans="1:8" ht="12.75">
      <c r="A3" s="10"/>
      <c r="B3" s="50"/>
      <c r="C3" s="51" t="s">
        <v>32</v>
      </c>
      <c r="D3" s="52"/>
      <c r="E3" s="52"/>
      <c r="F3" s="52"/>
      <c r="G3" s="52"/>
      <c r="H3" s="53"/>
    </row>
    <row r="4" spans="1:8" ht="12.75">
      <c r="A4" s="10">
        <v>1</v>
      </c>
      <c r="B4" s="54" t="s">
        <v>97</v>
      </c>
      <c r="C4" s="58"/>
      <c r="D4" s="58"/>
      <c r="E4" s="58"/>
      <c r="F4" s="58"/>
      <c r="G4" s="58"/>
      <c r="H4" s="86">
        <v>2004</v>
      </c>
    </row>
    <row r="5" spans="1:8" ht="12.75">
      <c r="A5" s="10">
        <v>2</v>
      </c>
      <c r="B5" s="54" t="s">
        <v>115</v>
      </c>
      <c r="C5" s="58"/>
      <c r="D5" s="58"/>
      <c r="E5" s="58"/>
      <c r="F5" s="58"/>
      <c r="G5" s="58"/>
      <c r="H5" s="87">
        <v>160000</v>
      </c>
    </row>
    <row r="6" spans="1:9" ht="12.75">
      <c r="A6" s="10">
        <v>3</v>
      </c>
      <c r="B6" s="54" t="s">
        <v>124</v>
      </c>
      <c r="C6" s="58"/>
      <c r="D6" s="58"/>
      <c r="E6" s="58"/>
      <c r="F6" s="58"/>
      <c r="G6" s="58"/>
      <c r="H6" s="88">
        <v>165</v>
      </c>
      <c r="I6" t="s">
        <v>146</v>
      </c>
    </row>
    <row r="7" spans="1:9" ht="12.75">
      <c r="A7" s="10">
        <v>4</v>
      </c>
      <c r="B7" s="54" t="s">
        <v>120</v>
      </c>
      <c r="C7" s="58"/>
      <c r="D7" s="58"/>
      <c r="E7" s="58"/>
      <c r="F7" s="58"/>
      <c r="G7" s="58"/>
      <c r="H7" s="88">
        <v>156</v>
      </c>
      <c r="I7" s="62">
        <f>H5/H7</f>
        <v>1025.6410256410256</v>
      </c>
    </row>
    <row r="8" spans="1:8" ht="12.75">
      <c r="A8" s="10">
        <v>5</v>
      </c>
      <c r="B8" s="56" t="s">
        <v>101</v>
      </c>
      <c r="C8" s="57"/>
      <c r="D8" s="57"/>
      <c r="E8" s="57"/>
      <c r="F8" s="57"/>
      <c r="G8" s="57"/>
      <c r="H8" s="86">
        <v>20</v>
      </c>
    </row>
    <row r="9" spans="1:8" ht="12.75">
      <c r="A9" s="10">
        <v>6</v>
      </c>
      <c r="B9" s="56" t="s">
        <v>117</v>
      </c>
      <c r="C9" s="57"/>
      <c r="D9" s="57"/>
      <c r="E9" s="57"/>
      <c r="F9" s="57"/>
      <c r="G9" s="57"/>
      <c r="H9" s="87">
        <v>30000</v>
      </c>
    </row>
    <row r="10" spans="1:8" ht="12.75">
      <c r="A10" s="10">
        <v>7</v>
      </c>
      <c r="B10" s="54" t="s">
        <v>133</v>
      </c>
      <c r="C10" s="50"/>
      <c r="D10" s="50"/>
      <c r="E10" s="50"/>
      <c r="F10" s="50"/>
      <c r="G10" s="50"/>
      <c r="H10" s="87">
        <v>100000</v>
      </c>
    </row>
    <row r="11" spans="1:8" ht="12.75">
      <c r="A11" s="10">
        <v>8</v>
      </c>
      <c r="B11" s="56" t="s">
        <v>116</v>
      </c>
      <c r="C11" s="57"/>
      <c r="D11" s="57"/>
      <c r="E11" s="57"/>
      <c r="F11" s="57"/>
      <c r="G11" s="57"/>
      <c r="H11" s="89">
        <v>0.065</v>
      </c>
    </row>
    <row r="12" spans="1:8" ht="12.75">
      <c r="A12" s="10">
        <v>9</v>
      </c>
      <c r="B12" s="56" t="s">
        <v>98</v>
      </c>
      <c r="C12" s="57"/>
      <c r="D12" s="57"/>
      <c r="E12" s="57"/>
      <c r="F12" s="57"/>
      <c r="G12" s="57"/>
      <c r="H12" s="88">
        <v>7</v>
      </c>
    </row>
    <row r="13" spans="1:7" ht="12.75">
      <c r="A13" s="55"/>
      <c r="B13" s="57"/>
      <c r="C13" s="51"/>
      <c r="D13" s="52"/>
      <c r="E13" s="50"/>
      <c r="F13" s="50"/>
      <c r="G13" s="50"/>
    </row>
    <row r="14" spans="1:7" ht="12.75">
      <c r="A14" s="55"/>
      <c r="B14" s="57"/>
      <c r="C14" s="51" t="s">
        <v>52</v>
      </c>
      <c r="D14" s="52"/>
      <c r="E14" s="52"/>
      <c r="F14" s="52"/>
      <c r="G14" s="50"/>
    </row>
    <row r="15" spans="1:8" ht="12.75">
      <c r="A15" s="55">
        <v>10</v>
      </c>
      <c r="B15" s="54" t="s">
        <v>95</v>
      </c>
      <c r="C15" s="50"/>
      <c r="D15" s="50"/>
      <c r="E15" s="50"/>
      <c r="F15" s="50"/>
      <c r="G15" s="50"/>
      <c r="H15" s="89">
        <v>0.25</v>
      </c>
    </row>
    <row r="16" spans="1:8" ht="12.75">
      <c r="A16" s="55">
        <v>11</v>
      </c>
      <c r="B16" s="56" t="s">
        <v>91</v>
      </c>
      <c r="C16" s="57"/>
      <c r="D16" s="57"/>
      <c r="E16" s="57"/>
      <c r="F16" s="57"/>
      <c r="G16" s="57"/>
      <c r="H16" s="86">
        <v>7</v>
      </c>
    </row>
    <row r="17" spans="1:8" ht="12.75">
      <c r="A17" s="55">
        <v>12</v>
      </c>
      <c r="B17" s="56" t="s">
        <v>94</v>
      </c>
      <c r="C17" s="57"/>
      <c r="D17" s="57"/>
      <c r="E17" s="57"/>
      <c r="F17" s="57"/>
      <c r="G17" s="57"/>
      <c r="H17" s="86">
        <v>10</v>
      </c>
    </row>
    <row r="18" spans="1:8" ht="12.75">
      <c r="A18" s="55">
        <v>13</v>
      </c>
      <c r="B18" s="56" t="s">
        <v>92</v>
      </c>
      <c r="C18" s="57"/>
      <c r="D18" s="57"/>
      <c r="E18" s="57"/>
      <c r="F18" s="57"/>
      <c r="G18" s="57"/>
      <c r="H18" s="86">
        <v>1</v>
      </c>
    </row>
    <row r="19" spans="1:8" ht="12.75">
      <c r="A19" s="55">
        <v>14</v>
      </c>
      <c r="B19" s="56" t="s">
        <v>106</v>
      </c>
      <c r="C19" s="57"/>
      <c r="D19" s="57"/>
      <c r="E19" s="57"/>
      <c r="F19" s="57"/>
      <c r="G19" s="57"/>
      <c r="H19" s="87">
        <v>50000</v>
      </c>
    </row>
    <row r="20" spans="1:8" ht="12.75">
      <c r="A20" s="55">
        <v>15</v>
      </c>
      <c r="B20" s="56" t="s">
        <v>93</v>
      </c>
      <c r="C20" s="57"/>
      <c r="D20" s="57"/>
      <c r="E20" s="57"/>
      <c r="F20" s="57"/>
      <c r="G20" s="57"/>
      <c r="H20" s="89">
        <v>0.1</v>
      </c>
    </row>
    <row r="21" spans="1:8" ht="13.5" thickBot="1">
      <c r="A21" s="55"/>
      <c r="B21" s="65" t="s">
        <v>121</v>
      </c>
      <c r="C21" s="57"/>
      <c r="D21" s="57"/>
      <c r="E21" s="57"/>
      <c r="F21" s="57"/>
      <c r="G21" s="57"/>
      <c r="H21" s="41"/>
    </row>
    <row r="22" spans="1:8" ht="16.5" thickBot="1">
      <c r="A22" s="55"/>
      <c r="C22" s="57"/>
      <c r="D22" s="57"/>
      <c r="E22" s="57"/>
      <c r="F22" s="57"/>
      <c r="G22" s="78" t="s">
        <v>137</v>
      </c>
      <c r="H22" s="64">
        <f>CashflowIncTax!G25</f>
        <v>52089.74997240251</v>
      </c>
    </row>
    <row r="23" spans="2:8" ht="12.75">
      <c r="B23" s="66" t="s">
        <v>142</v>
      </c>
      <c r="H23" s="8"/>
    </row>
    <row r="24" ht="13.5" thickBot="1">
      <c r="B24" s="66" t="s">
        <v>122</v>
      </c>
    </row>
    <row r="25" spans="2:8" ht="16.5" thickBot="1">
      <c r="B25" s="66"/>
      <c r="G25" s="114">
        <f>CashflowIncTax!H67</f>
        <v>0.15270793626260054</v>
      </c>
      <c r="H25" s="99" t="s">
        <v>143</v>
      </c>
    </row>
    <row r="26" spans="2:8" ht="16.5" thickBot="1">
      <c r="B26" s="66"/>
      <c r="G26" s="114">
        <f>CashflowIncTax!I67</f>
        <v>0.1471732589508708</v>
      </c>
      <c r="H26" t="s">
        <v>144</v>
      </c>
    </row>
    <row r="27" ht="12.75">
      <c r="C27" s="51" t="s">
        <v>96</v>
      </c>
    </row>
    <row r="28" spans="1:5" ht="12.75">
      <c r="A28">
        <v>16</v>
      </c>
      <c r="D28" s="5" t="s">
        <v>0</v>
      </c>
      <c r="E28" s="90">
        <v>11</v>
      </c>
    </row>
    <row r="29" spans="1:6" ht="12.75">
      <c r="A29">
        <v>17</v>
      </c>
      <c r="D29" s="5" t="s">
        <v>107</v>
      </c>
      <c r="E29" s="90">
        <v>5</v>
      </c>
      <c r="F29" t="s">
        <v>88</v>
      </c>
    </row>
    <row r="30" spans="2:5" ht="12.75">
      <c r="B30" s="47"/>
      <c r="E30"/>
    </row>
    <row r="31" spans="4:7" ht="12.75">
      <c r="D31" s="3" t="s">
        <v>20</v>
      </c>
      <c r="E31"/>
      <c r="G31" s="3" t="s">
        <v>87</v>
      </c>
    </row>
    <row r="32" spans="4:9" ht="12.75">
      <c r="D32" s="39" t="s">
        <v>2</v>
      </c>
      <c r="E32" s="39" t="s">
        <v>2</v>
      </c>
      <c r="G32" s="39" t="s">
        <v>3</v>
      </c>
      <c r="H32" s="39" t="s">
        <v>3</v>
      </c>
      <c r="I32" s="39" t="s">
        <v>5</v>
      </c>
    </row>
    <row r="33" spans="3:9" ht="12.75">
      <c r="C33" s="5" t="s">
        <v>86</v>
      </c>
      <c r="D33" s="40" t="s">
        <v>4</v>
      </c>
      <c r="E33" s="40" t="s">
        <v>18</v>
      </c>
      <c r="F33" s="3"/>
      <c r="G33" s="40" t="s">
        <v>149</v>
      </c>
      <c r="H33" s="40" t="s">
        <v>1</v>
      </c>
      <c r="I33" s="40" t="s">
        <v>6</v>
      </c>
    </row>
    <row r="34" spans="1:9" ht="12.75">
      <c r="A34">
        <v>18</v>
      </c>
      <c r="B34" s="41"/>
      <c r="C34" s="5" t="s">
        <v>134</v>
      </c>
      <c r="D34" s="88">
        <v>50</v>
      </c>
      <c r="E34" s="88">
        <v>50</v>
      </c>
      <c r="F34" s="39"/>
      <c r="G34" s="88">
        <v>1</v>
      </c>
      <c r="H34" s="88">
        <v>1</v>
      </c>
      <c r="I34" s="88">
        <v>1</v>
      </c>
    </row>
    <row r="35" spans="1:9" ht="12.75">
      <c r="A35" s="6"/>
      <c r="B35" s="110"/>
      <c r="C35" s="108" t="s">
        <v>21</v>
      </c>
      <c r="D35" s="45">
        <f>D34/(E34+D34)</f>
        <v>0.5</v>
      </c>
      <c r="E35" s="45">
        <f>E34/(D34+E34)</f>
        <v>0.5</v>
      </c>
      <c r="F35" s="39"/>
      <c r="G35" s="45">
        <f>G34/(G34+H34+I34)</f>
        <v>0.3333333333333333</v>
      </c>
      <c r="H35" s="45">
        <f>H34/(G34+H34+I34)</f>
        <v>0.3333333333333333</v>
      </c>
      <c r="I35" s="45">
        <f>I34/(G34+H34+I34)</f>
        <v>0.3333333333333333</v>
      </c>
    </row>
    <row r="36" spans="1:9" ht="13.5" thickBot="1">
      <c r="A36">
        <v>19</v>
      </c>
      <c r="B36" s="109" t="s">
        <v>135</v>
      </c>
      <c r="C36" s="42" t="s">
        <v>81</v>
      </c>
      <c r="D36" s="90">
        <v>5</v>
      </c>
      <c r="E36" s="90">
        <v>1.95</v>
      </c>
      <c r="F36" s="44"/>
      <c r="G36" s="90">
        <v>2.25</v>
      </c>
      <c r="H36" s="90">
        <v>2.1</v>
      </c>
      <c r="I36" s="90">
        <v>5</v>
      </c>
    </row>
    <row r="37" spans="1:15" ht="12.75" customHeight="1">
      <c r="A37" s="6"/>
      <c r="B37" s="107" t="s">
        <v>16</v>
      </c>
      <c r="C37" s="80"/>
      <c r="D37" s="80"/>
      <c r="E37" s="81"/>
      <c r="F37" s="81"/>
      <c r="G37" s="81"/>
      <c r="H37" s="81"/>
      <c r="I37" s="82"/>
      <c r="J37" s="7"/>
      <c r="O37" s="7"/>
    </row>
    <row r="38" spans="1:15" ht="12.75" customHeight="1">
      <c r="A38" s="79">
        <v>20</v>
      </c>
      <c r="B38" s="105">
        <v>0.5</v>
      </c>
      <c r="C38" s="43" t="s">
        <v>79</v>
      </c>
      <c r="D38" s="100">
        <v>30</v>
      </c>
      <c r="E38" s="100">
        <v>110</v>
      </c>
      <c r="F38" s="46"/>
      <c r="G38" s="100">
        <v>100</v>
      </c>
      <c r="H38" s="100">
        <v>200</v>
      </c>
      <c r="I38" s="101">
        <v>50</v>
      </c>
      <c r="J38" s="7"/>
      <c r="O38" s="7"/>
    </row>
    <row r="39" spans="1:15" ht="12.75" customHeight="1" thickBot="1">
      <c r="A39" s="48">
        <v>21</v>
      </c>
      <c r="B39" s="104"/>
      <c r="C39" s="83" t="s">
        <v>80</v>
      </c>
      <c r="D39" s="84" t="s">
        <v>17</v>
      </c>
      <c r="E39" s="84" t="s">
        <v>17</v>
      </c>
      <c r="F39" s="84"/>
      <c r="G39" s="102">
        <v>9</v>
      </c>
      <c r="H39" s="102">
        <v>9</v>
      </c>
      <c r="I39" s="103">
        <v>4.5</v>
      </c>
      <c r="J39" s="7"/>
      <c r="O39" s="7"/>
    </row>
    <row r="40" spans="1:15" ht="12.75" customHeight="1">
      <c r="A40" s="74"/>
      <c r="B40" s="107" t="s">
        <v>14</v>
      </c>
      <c r="C40" s="80"/>
      <c r="D40" s="80"/>
      <c r="E40" s="81"/>
      <c r="F40" s="85"/>
      <c r="G40" s="81"/>
      <c r="H40" s="81"/>
      <c r="I40" s="82"/>
      <c r="J40" s="7"/>
      <c r="O40" s="7"/>
    </row>
    <row r="41" spans="1:15" ht="12.75" customHeight="1">
      <c r="A41" s="74">
        <v>22</v>
      </c>
      <c r="B41" s="106">
        <v>0.3</v>
      </c>
      <c r="C41" s="43" t="s">
        <v>79</v>
      </c>
      <c r="D41" s="100">
        <v>20</v>
      </c>
      <c r="E41" s="100">
        <v>90</v>
      </c>
      <c r="F41" s="46"/>
      <c r="G41" s="100">
        <v>100</v>
      </c>
      <c r="H41" s="100">
        <v>200</v>
      </c>
      <c r="I41" s="101">
        <v>52</v>
      </c>
      <c r="J41" s="7"/>
      <c r="O41" s="7"/>
    </row>
    <row r="42" spans="1:15" ht="12.75" customHeight="1" thickBot="1">
      <c r="A42" s="74">
        <v>23</v>
      </c>
      <c r="B42" s="104"/>
      <c r="C42" s="83" t="s">
        <v>80</v>
      </c>
      <c r="D42" s="84" t="s">
        <v>17</v>
      </c>
      <c r="E42" s="84" t="s">
        <v>17</v>
      </c>
      <c r="F42" s="84"/>
      <c r="G42" s="102">
        <v>11</v>
      </c>
      <c r="H42" s="102">
        <v>11</v>
      </c>
      <c r="I42" s="103">
        <v>5.5</v>
      </c>
      <c r="J42" s="7"/>
      <c r="O42" s="7"/>
    </row>
    <row r="43" spans="1:15" ht="12.75">
      <c r="A43" s="74"/>
      <c r="B43" s="107" t="s">
        <v>15</v>
      </c>
      <c r="C43" s="80"/>
      <c r="D43" s="80"/>
      <c r="E43" s="81"/>
      <c r="F43" s="81"/>
      <c r="G43" s="81"/>
      <c r="H43" s="81"/>
      <c r="I43" s="82"/>
      <c r="J43" s="7"/>
      <c r="O43" s="7"/>
    </row>
    <row r="44" spans="1:15" ht="12.75">
      <c r="A44" s="74">
        <v>24</v>
      </c>
      <c r="B44" s="105">
        <v>0.2</v>
      </c>
      <c r="C44" s="43" t="s">
        <v>79</v>
      </c>
      <c r="D44" s="100">
        <v>40</v>
      </c>
      <c r="E44" s="100">
        <v>140</v>
      </c>
      <c r="F44" s="46"/>
      <c r="G44" s="100">
        <v>100</v>
      </c>
      <c r="H44" s="100">
        <v>200</v>
      </c>
      <c r="I44" s="101">
        <v>45</v>
      </c>
      <c r="J44" s="7"/>
      <c r="O44" s="7"/>
    </row>
    <row r="45" spans="1:15" ht="13.5" thickBot="1">
      <c r="A45" s="74">
        <v>25</v>
      </c>
      <c r="B45" s="104"/>
      <c r="C45" s="83" t="s">
        <v>80</v>
      </c>
      <c r="D45" s="84" t="s">
        <v>17</v>
      </c>
      <c r="E45" s="84" t="s">
        <v>17</v>
      </c>
      <c r="F45" s="84"/>
      <c r="G45" s="102">
        <v>6</v>
      </c>
      <c r="H45" s="102">
        <v>6</v>
      </c>
      <c r="I45" s="103">
        <v>3</v>
      </c>
      <c r="J45" s="7"/>
      <c r="O45" s="7"/>
    </row>
    <row r="46" spans="2:9" ht="12.75">
      <c r="B46" s="75">
        <f>B38+B41+B44</f>
        <v>1</v>
      </c>
      <c r="C46" s="8" t="s">
        <v>82</v>
      </c>
      <c r="D46" s="8"/>
      <c r="E46" s="8"/>
      <c r="F46" s="8"/>
      <c r="G46" s="8"/>
      <c r="H46" s="8"/>
      <c r="I46" s="8"/>
    </row>
    <row r="47" spans="5:8" ht="12.75">
      <c r="E47"/>
      <c r="G47" s="5"/>
      <c r="H47" s="77"/>
    </row>
    <row r="48" spans="2:9" ht="12.75">
      <c r="B48" s="9" t="s">
        <v>16</v>
      </c>
      <c r="D48" s="39" t="s">
        <v>2</v>
      </c>
      <c r="E48" s="39" t="s">
        <v>2</v>
      </c>
      <c r="F48" s="39"/>
      <c r="G48" s="39" t="s">
        <v>3</v>
      </c>
      <c r="H48" s="39" t="s">
        <v>3</v>
      </c>
      <c r="I48" s="39" t="s">
        <v>5</v>
      </c>
    </row>
    <row r="49" spans="4:9" ht="12.75">
      <c r="D49" s="91" t="s">
        <v>4</v>
      </c>
      <c r="E49" s="91" t="s">
        <v>18</v>
      </c>
      <c r="F49" s="91"/>
      <c r="G49" s="91" t="str">
        <f>G33</f>
        <v>Geen Beans</v>
      </c>
      <c r="H49" s="91" t="s">
        <v>1</v>
      </c>
      <c r="I49" s="91" t="s">
        <v>6</v>
      </c>
    </row>
    <row r="50" spans="2:9" ht="12.75">
      <c r="B50" t="s">
        <v>19</v>
      </c>
      <c r="D50" s="62">
        <f>D38*D$36</f>
        <v>150</v>
      </c>
      <c r="E50" s="62">
        <f>E38*E$36</f>
        <v>214.5</v>
      </c>
      <c r="F50" s="62"/>
      <c r="G50" s="62">
        <f>G38*G$36</f>
        <v>225</v>
      </c>
      <c r="H50" s="62">
        <f>H38*H$36</f>
        <v>420</v>
      </c>
      <c r="I50" s="62">
        <f>I38*I$36</f>
        <v>250</v>
      </c>
    </row>
    <row r="51" spans="1:9" ht="12.75">
      <c r="A51">
        <v>26</v>
      </c>
      <c r="B51" t="s">
        <v>84</v>
      </c>
      <c r="C51" s="2"/>
      <c r="D51" s="88">
        <v>3</v>
      </c>
      <c r="E51" s="88">
        <v>3.5</v>
      </c>
      <c r="F51" s="92"/>
      <c r="G51" s="88">
        <v>0</v>
      </c>
      <c r="H51" s="88">
        <v>4</v>
      </c>
      <c r="I51" s="88">
        <v>3.2</v>
      </c>
    </row>
    <row r="52" spans="2:9" ht="12.75">
      <c r="B52" t="s">
        <v>85</v>
      </c>
      <c r="C52" s="91" t="s">
        <v>11</v>
      </c>
      <c r="D52" s="39"/>
      <c r="E52" s="39"/>
      <c r="F52" s="39"/>
      <c r="G52" s="39"/>
      <c r="H52" s="39"/>
      <c r="I52" s="39"/>
    </row>
    <row r="53" spans="1:9" ht="12.75">
      <c r="A53">
        <v>27</v>
      </c>
      <c r="B53" t="s">
        <v>7</v>
      </c>
      <c r="C53" s="2"/>
      <c r="D53" s="90">
        <v>19.29</v>
      </c>
      <c r="E53" s="90">
        <v>29.25</v>
      </c>
      <c r="F53" s="62"/>
      <c r="G53" s="90">
        <v>0</v>
      </c>
      <c r="H53" s="90">
        <v>0</v>
      </c>
      <c r="I53" s="90">
        <v>21.43</v>
      </c>
    </row>
    <row r="54" spans="1:9" ht="12.75">
      <c r="A54">
        <v>28</v>
      </c>
      <c r="B54" t="s">
        <v>25</v>
      </c>
      <c r="D54" s="90">
        <f>5.4+11.7+7.5</f>
        <v>24.6</v>
      </c>
      <c r="E54" s="90">
        <f>21+8.1+9.1+8</f>
        <v>46.2</v>
      </c>
      <c r="F54" s="62"/>
      <c r="G54" s="90">
        <v>0</v>
      </c>
      <c r="H54" s="90">
        <v>87.2</v>
      </c>
      <c r="I54" s="90">
        <f>7.2+13.65+8</f>
        <v>28.85</v>
      </c>
    </row>
    <row r="55" spans="1:9" ht="12.75">
      <c r="A55">
        <v>29</v>
      </c>
      <c r="B55" t="s">
        <v>8</v>
      </c>
      <c r="D55" s="90">
        <v>15</v>
      </c>
      <c r="E55" s="90">
        <v>29.25</v>
      </c>
      <c r="F55" s="62"/>
      <c r="G55" s="90">
        <v>0</v>
      </c>
      <c r="H55" s="90">
        <v>58</v>
      </c>
      <c r="I55" s="90">
        <v>15</v>
      </c>
    </row>
    <row r="56" spans="1:9" ht="12.75">
      <c r="A56">
        <v>30</v>
      </c>
      <c r="B56" t="s">
        <v>136</v>
      </c>
      <c r="C56" s="90">
        <v>0.25</v>
      </c>
      <c r="D56" s="90">
        <v>0</v>
      </c>
      <c r="E56" s="93">
        <f>E38*C56</f>
        <v>27.5</v>
      </c>
      <c r="F56" s="62"/>
      <c r="G56" s="93">
        <v>0</v>
      </c>
      <c r="H56" s="90">
        <v>0</v>
      </c>
      <c r="I56" s="90">
        <v>0</v>
      </c>
    </row>
    <row r="57" spans="2:9" ht="12.75">
      <c r="B57" t="s">
        <v>140</v>
      </c>
      <c r="D57" s="90">
        <v>0</v>
      </c>
      <c r="E57" s="90">
        <v>0</v>
      </c>
      <c r="F57" s="62"/>
      <c r="G57" s="93">
        <v>0</v>
      </c>
      <c r="H57" s="93">
        <f>$E$29*H39</f>
        <v>45</v>
      </c>
      <c r="I57" s="93">
        <f>$E$29*I39</f>
        <v>22.5</v>
      </c>
    </row>
    <row r="58" spans="1:9" ht="12.75">
      <c r="A58">
        <v>31</v>
      </c>
      <c r="B58" t="s">
        <v>141</v>
      </c>
      <c r="C58" s="2"/>
      <c r="D58" s="90">
        <v>6.38</v>
      </c>
      <c r="E58" s="90">
        <v>8.63</v>
      </c>
      <c r="F58" s="62"/>
      <c r="G58" s="90">
        <v>0</v>
      </c>
      <c r="H58" s="90">
        <f>G58*0.6666</f>
        <v>0</v>
      </c>
      <c r="I58" s="90">
        <v>7.33</v>
      </c>
    </row>
    <row r="59" spans="1:9" ht="12.75">
      <c r="A59">
        <v>32</v>
      </c>
      <c r="B59" t="s">
        <v>9</v>
      </c>
      <c r="C59" s="2"/>
      <c r="D59" s="90">
        <v>18</v>
      </c>
      <c r="E59" s="90">
        <v>22</v>
      </c>
      <c r="F59" s="62"/>
      <c r="G59" s="90">
        <v>0</v>
      </c>
      <c r="H59" s="90">
        <v>20</v>
      </c>
      <c r="I59" s="90">
        <v>18</v>
      </c>
    </row>
    <row r="60" spans="1:9" ht="12.75">
      <c r="A60">
        <v>33</v>
      </c>
      <c r="B60" t="s">
        <v>10</v>
      </c>
      <c r="C60" s="2"/>
      <c r="D60" s="90">
        <v>1.5</v>
      </c>
      <c r="E60" s="90">
        <v>5.5</v>
      </c>
      <c r="F60" s="62"/>
      <c r="G60" s="90">
        <v>0</v>
      </c>
      <c r="H60" s="90">
        <v>1.5</v>
      </c>
      <c r="I60" s="90">
        <v>1.5</v>
      </c>
    </row>
    <row r="61" spans="1:9" ht="12.75">
      <c r="A61">
        <v>34</v>
      </c>
      <c r="B61" t="s">
        <v>123</v>
      </c>
      <c r="C61" s="2"/>
      <c r="D61" s="90">
        <v>0</v>
      </c>
      <c r="E61" s="90">
        <v>0</v>
      </c>
      <c r="F61" s="62"/>
      <c r="G61" s="90">
        <v>0</v>
      </c>
      <c r="H61" s="90">
        <v>25</v>
      </c>
      <c r="I61" s="90">
        <v>0</v>
      </c>
    </row>
    <row r="62" spans="1:9" ht="12.75">
      <c r="A62">
        <v>35</v>
      </c>
      <c r="B62" t="s">
        <v>22</v>
      </c>
      <c r="C62" s="90">
        <v>0.15</v>
      </c>
      <c r="D62" s="62">
        <f>D38*C62</f>
        <v>4.5</v>
      </c>
      <c r="E62" s="62">
        <f>E38*C62</f>
        <v>16.5</v>
      </c>
      <c r="F62" s="62"/>
      <c r="G62" s="62">
        <v>0</v>
      </c>
      <c r="H62" s="90">
        <v>15</v>
      </c>
      <c r="I62" s="62">
        <f>I38*C62</f>
        <v>7.5</v>
      </c>
    </row>
    <row r="63" spans="1:9" ht="12.75">
      <c r="A63">
        <v>36</v>
      </c>
      <c r="B63" t="s">
        <v>23</v>
      </c>
      <c r="C63" s="90">
        <v>0.05</v>
      </c>
      <c r="D63" s="62">
        <f>D38*C63</f>
        <v>1.5</v>
      </c>
      <c r="E63" s="62">
        <f>E38*C63</f>
        <v>5.5</v>
      </c>
      <c r="F63" s="62"/>
      <c r="G63" s="62">
        <v>0</v>
      </c>
      <c r="H63" s="62">
        <f>C63*H38</f>
        <v>10</v>
      </c>
      <c r="I63" s="62">
        <f>I38*C63</f>
        <v>2.5</v>
      </c>
    </row>
    <row r="64" spans="2:15" ht="12.75">
      <c r="B64" s="3" t="s">
        <v>26</v>
      </c>
      <c r="D64" s="94">
        <f>D51*$E$28</f>
        <v>33</v>
      </c>
      <c r="E64" s="94">
        <f>E51*$E$28</f>
        <v>38.5</v>
      </c>
      <c r="F64" s="94"/>
      <c r="G64" s="94">
        <v>0</v>
      </c>
      <c r="H64" s="94">
        <f>H51*$E$28</f>
        <v>44</v>
      </c>
      <c r="I64" s="94">
        <f>I51*$E$28</f>
        <v>35.2</v>
      </c>
      <c r="O64" s="7"/>
    </row>
    <row r="65" spans="2:9" ht="12.75">
      <c r="B65" t="s">
        <v>13</v>
      </c>
      <c r="D65" s="95">
        <f>SUM(D53:D63)+D64</f>
        <v>123.77</v>
      </c>
      <c r="E65" s="95">
        <f>SUM(E53:E63)+E64</f>
        <v>228.82999999999998</v>
      </c>
      <c r="F65" s="95"/>
      <c r="G65" s="95">
        <f>SUM(G53:G63)+G64</f>
        <v>0</v>
      </c>
      <c r="H65" s="95">
        <f>SUM(H53:H63)+H64</f>
        <v>305.7</v>
      </c>
      <c r="I65" s="95">
        <f>SUM(I53:I63)+I64</f>
        <v>159.81</v>
      </c>
    </row>
    <row r="66" spans="2:9" ht="12.75">
      <c r="B66" t="s">
        <v>24</v>
      </c>
      <c r="C66" s="6"/>
      <c r="D66" s="117">
        <f>D50-D65</f>
        <v>26.230000000000004</v>
      </c>
      <c r="E66" s="117">
        <f>E50-E65</f>
        <v>-14.329999999999984</v>
      </c>
      <c r="F66" s="117"/>
      <c r="G66" s="117">
        <f>G50-G65</f>
        <v>225</v>
      </c>
      <c r="H66" s="117">
        <f>H50-H65</f>
        <v>114.30000000000001</v>
      </c>
      <c r="I66" s="117">
        <f>I50-I65</f>
        <v>90.19</v>
      </c>
    </row>
    <row r="67" spans="2:9" ht="12.75">
      <c r="B67" t="s">
        <v>27</v>
      </c>
      <c r="D67" s="93">
        <f>D66*D$35</f>
        <v>13.115000000000002</v>
      </c>
      <c r="E67" s="93">
        <f>E66*E$35</f>
        <v>-7.164999999999992</v>
      </c>
      <c r="F67" s="96"/>
      <c r="G67" s="93">
        <f>G66*G$35</f>
        <v>75</v>
      </c>
      <c r="H67" s="93">
        <f>H66*H$35</f>
        <v>38.1</v>
      </c>
      <c r="I67" s="93">
        <f>I66*I$35</f>
        <v>30.063333333333333</v>
      </c>
    </row>
    <row r="68" spans="2:9" ht="12.75">
      <c r="B68" s="4"/>
      <c r="D68" s="39"/>
      <c r="E68" s="39"/>
      <c r="F68" s="39"/>
      <c r="G68" s="39"/>
      <c r="H68" s="39"/>
      <c r="I68" s="39"/>
    </row>
    <row r="69" spans="2:9" ht="12.75">
      <c r="B69" s="9" t="s">
        <v>14</v>
      </c>
      <c r="D69" s="39" t="s">
        <v>2</v>
      </c>
      <c r="E69" s="39" t="s">
        <v>2</v>
      </c>
      <c r="F69" s="39"/>
      <c r="G69" s="39" t="s">
        <v>3</v>
      </c>
      <c r="H69" s="39" t="s">
        <v>3</v>
      </c>
      <c r="I69" s="39" t="s">
        <v>5</v>
      </c>
    </row>
    <row r="70" spans="4:9" ht="12.75">
      <c r="D70" s="91" t="s">
        <v>4</v>
      </c>
      <c r="E70" s="91" t="s">
        <v>18</v>
      </c>
      <c r="F70" s="91"/>
      <c r="G70" s="91" t="str">
        <f>G49</f>
        <v>Geen Beans</v>
      </c>
      <c r="H70" s="91" t="s">
        <v>1</v>
      </c>
      <c r="I70" s="91" t="s">
        <v>6</v>
      </c>
    </row>
    <row r="71" spans="2:9" ht="12.75">
      <c r="B71" t="s">
        <v>19</v>
      </c>
      <c r="D71" s="62">
        <f>D41*D36</f>
        <v>100</v>
      </c>
      <c r="E71" s="62">
        <f>E41*E36</f>
        <v>175.5</v>
      </c>
      <c r="F71" s="62"/>
      <c r="G71" s="62">
        <f>G41*G36</f>
        <v>225</v>
      </c>
      <c r="H71" s="62">
        <f>H41*H36</f>
        <v>420</v>
      </c>
      <c r="I71" s="62">
        <f>I41*I36</f>
        <v>260</v>
      </c>
    </row>
    <row r="72" spans="2:9" ht="12.75">
      <c r="B72" t="s">
        <v>12</v>
      </c>
      <c r="C72" s="2"/>
      <c r="D72" s="88">
        <f>D51</f>
        <v>3</v>
      </c>
      <c r="E72" s="88">
        <f>E51</f>
        <v>3.5</v>
      </c>
      <c r="F72" s="92"/>
      <c r="G72" s="88">
        <f>G51</f>
        <v>0</v>
      </c>
      <c r="H72" s="88">
        <f>H51</f>
        <v>4</v>
      </c>
      <c r="I72" s="88">
        <f>I51</f>
        <v>3.2</v>
      </c>
    </row>
    <row r="73" spans="2:9" ht="12.75">
      <c r="B73" t="s">
        <v>85</v>
      </c>
      <c r="C73" s="91" t="s">
        <v>11</v>
      </c>
      <c r="D73" s="39"/>
      <c r="E73" s="39"/>
      <c r="F73" s="39"/>
      <c r="G73" s="39"/>
      <c r="H73" s="39"/>
      <c r="I73" s="39"/>
    </row>
    <row r="74" spans="2:9" ht="12.75">
      <c r="B74" t="s">
        <v>7</v>
      </c>
      <c r="C74" s="2"/>
      <c r="D74" s="90">
        <f aca="true" t="shared" si="0" ref="D74:E76">D53</f>
        <v>19.29</v>
      </c>
      <c r="E74" s="90">
        <f t="shared" si="0"/>
        <v>29.25</v>
      </c>
      <c r="F74" s="62"/>
      <c r="G74" s="90">
        <f aca="true" t="shared" si="1" ref="G74:I76">G53</f>
        <v>0</v>
      </c>
      <c r="H74" s="90">
        <f t="shared" si="1"/>
        <v>0</v>
      </c>
      <c r="I74" s="90">
        <f t="shared" si="1"/>
        <v>21.43</v>
      </c>
    </row>
    <row r="75" spans="2:9" ht="12.75">
      <c r="B75" t="s">
        <v>25</v>
      </c>
      <c r="D75" s="90">
        <f t="shared" si="0"/>
        <v>24.6</v>
      </c>
      <c r="E75" s="90">
        <f t="shared" si="0"/>
        <v>46.2</v>
      </c>
      <c r="F75" s="62"/>
      <c r="G75" s="90">
        <f t="shared" si="1"/>
        <v>0</v>
      </c>
      <c r="H75" s="90">
        <f t="shared" si="1"/>
        <v>87.2</v>
      </c>
      <c r="I75" s="90">
        <f t="shared" si="1"/>
        <v>28.85</v>
      </c>
    </row>
    <row r="76" spans="2:9" ht="12.75">
      <c r="B76" t="s">
        <v>8</v>
      </c>
      <c r="D76" s="90">
        <f t="shared" si="0"/>
        <v>15</v>
      </c>
      <c r="E76" s="90">
        <f t="shared" si="0"/>
        <v>29.25</v>
      </c>
      <c r="F76" s="62"/>
      <c r="G76" s="90">
        <f t="shared" si="1"/>
        <v>0</v>
      </c>
      <c r="H76" s="90">
        <f t="shared" si="1"/>
        <v>58</v>
      </c>
      <c r="I76" s="90">
        <f t="shared" si="1"/>
        <v>15</v>
      </c>
    </row>
    <row r="77" spans="2:9" ht="12.75">
      <c r="B77" t="s">
        <v>136</v>
      </c>
      <c r="C77" s="90">
        <f>C56</f>
        <v>0.25</v>
      </c>
      <c r="D77" s="90">
        <v>0</v>
      </c>
      <c r="E77" s="93">
        <f>E41*C77</f>
        <v>22.5</v>
      </c>
      <c r="F77" s="62"/>
      <c r="G77" s="93">
        <v>0</v>
      </c>
      <c r="H77" s="90">
        <v>0</v>
      </c>
      <c r="I77" s="90">
        <v>0</v>
      </c>
    </row>
    <row r="78" spans="2:9" ht="12.75">
      <c r="B78" t="s">
        <v>140</v>
      </c>
      <c r="D78" s="90">
        <f aca="true" t="shared" si="2" ref="D78:E82">D57</f>
        <v>0</v>
      </c>
      <c r="E78" s="90">
        <f t="shared" si="2"/>
        <v>0</v>
      </c>
      <c r="F78" s="62"/>
      <c r="G78" s="93">
        <v>0</v>
      </c>
      <c r="H78" s="93">
        <f>$E$29*H42</f>
        <v>55</v>
      </c>
      <c r="I78" s="93">
        <f>$E$29*I42</f>
        <v>27.5</v>
      </c>
    </row>
    <row r="79" spans="2:9" ht="12.75">
      <c r="B79" t="s">
        <v>141</v>
      </c>
      <c r="C79" s="2"/>
      <c r="D79" s="90">
        <f t="shared" si="2"/>
        <v>6.38</v>
      </c>
      <c r="E79" s="90">
        <f t="shared" si="2"/>
        <v>8.63</v>
      </c>
      <c r="F79" s="62"/>
      <c r="G79" s="90">
        <f aca="true" t="shared" si="3" ref="G79:I80">G58</f>
        <v>0</v>
      </c>
      <c r="H79" s="90">
        <f t="shared" si="3"/>
        <v>0</v>
      </c>
      <c r="I79" s="90">
        <f t="shared" si="3"/>
        <v>7.33</v>
      </c>
    </row>
    <row r="80" spans="2:9" ht="12.75">
      <c r="B80" t="s">
        <v>9</v>
      </c>
      <c r="C80" s="2"/>
      <c r="D80" s="90">
        <f t="shared" si="2"/>
        <v>18</v>
      </c>
      <c r="E80" s="90">
        <f t="shared" si="2"/>
        <v>22</v>
      </c>
      <c r="F80" s="62"/>
      <c r="G80" s="90">
        <f t="shared" si="3"/>
        <v>0</v>
      </c>
      <c r="H80" s="90">
        <f t="shared" si="3"/>
        <v>20</v>
      </c>
      <c r="I80" s="90">
        <f t="shared" si="3"/>
        <v>18</v>
      </c>
    </row>
    <row r="81" spans="2:9" ht="12.75">
      <c r="B81" t="s">
        <v>10</v>
      </c>
      <c r="C81" s="2"/>
      <c r="D81" s="90">
        <f t="shared" si="2"/>
        <v>1.5</v>
      </c>
      <c r="E81" s="90">
        <f t="shared" si="2"/>
        <v>5.5</v>
      </c>
      <c r="F81" s="62"/>
      <c r="G81" s="90">
        <f aca="true" t="shared" si="4" ref="G81:I82">G60</f>
        <v>0</v>
      </c>
      <c r="H81" s="90">
        <f t="shared" si="4"/>
        <v>1.5</v>
      </c>
      <c r="I81" s="90">
        <f t="shared" si="4"/>
        <v>1.5</v>
      </c>
    </row>
    <row r="82" spans="2:9" ht="12.75">
      <c r="B82" t="s">
        <v>123</v>
      </c>
      <c r="C82" s="2"/>
      <c r="D82" s="90">
        <f t="shared" si="2"/>
        <v>0</v>
      </c>
      <c r="E82" s="90">
        <f t="shared" si="2"/>
        <v>0</v>
      </c>
      <c r="F82" s="62"/>
      <c r="G82" s="90">
        <f t="shared" si="4"/>
        <v>0</v>
      </c>
      <c r="H82" s="90">
        <f t="shared" si="4"/>
        <v>25</v>
      </c>
      <c r="I82" s="90">
        <f t="shared" si="4"/>
        <v>0</v>
      </c>
    </row>
    <row r="83" spans="2:9" ht="12.75">
      <c r="B83" t="s">
        <v>22</v>
      </c>
      <c r="C83" s="90">
        <f>C62</f>
        <v>0.15</v>
      </c>
      <c r="D83" s="62">
        <f>D41*C83</f>
        <v>3</v>
      </c>
      <c r="E83" s="62">
        <f>E41*C83</f>
        <v>13.5</v>
      </c>
      <c r="F83" s="62"/>
      <c r="G83" s="62">
        <v>0</v>
      </c>
      <c r="H83" s="90">
        <v>15</v>
      </c>
      <c r="I83" s="62">
        <f>I41*C83</f>
        <v>7.8</v>
      </c>
    </row>
    <row r="84" spans="2:9" ht="12.75">
      <c r="B84" t="s">
        <v>23</v>
      </c>
      <c r="C84" s="90">
        <f>C63</f>
        <v>0.05</v>
      </c>
      <c r="D84" s="62">
        <f>D41*C84</f>
        <v>1</v>
      </c>
      <c r="E84" s="62">
        <f>E41*C84</f>
        <v>4.5</v>
      </c>
      <c r="F84" s="62"/>
      <c r="G84" s="62">
        <v>0</v>
      </c>
      <c r="H84" s="62">
        <f>C84*H41</f>
        <v>10</v>
      </c>
      <c r="I84" s="62">
        <f>I41*C84</f>
        <v>2.6</v>
      </c>
    </row>
    <row r="85" spans="2:9" ht="12.75">
      <c r="B85" s="3" t="s">
        <v>26</v>
      </c>
      <c r="D85" s="94">
        <f>D72*$E$28</f>
        <v>33</v>
      </c>
      <c r="E85" s="94">
        <f>E72*$E$28</f>
        <v>38.5</v>
      </c>
      <c r="F85" s="94"/>
      <c r="G85" s="94">
        <f>G72*$E$28</f>
        <v>0</v>
      </c>
      <c r="H85" s="94">
        <f>H72*$E$28</f>
        <v>44</v>
      </c>
      <c r="I85" s="94">
        <f>I72*$E$28</f>
        <v>35.2</v>
      </c>
    </row>
    <row r="86" spans="2:9" ht="12.75">
      <c r="B86" t="s">
        <v>13</v>
      </c>
      <c r="D86" s="95">
        <f>SUM(D74:D84)+D85</f>
        <v>121.77</v>
      </c>
      <c r="E86" s="95">
        <f>SUM(E74:E84)+E85</f>
        <v>219.83</v>
      </c>
      <c r="F86" s="95"/>
      <c r="G86" s="95">
        <f>SUM(G74:G84)+G85</f>
        <v>0</v>
      </c>
      <c r="H86" s="95">
        <f>SUM(H74:H84)+H85</f>
        <v>315.7</v>
      </c>
      <c r="I86" s="95">
        <f>SUM(I74:I84)+I85</f>
        <v>165.20999999999998</v>
      </c>
    </row>
    <row r="87" spans="2:9" ht="12.75">
      <c r="B87" t="s">
        <v>24</v>
      </c>
      <c r="C87" s="6"/>
      <c r="D87" s="117">
        <f>D71-D86</f>
        <v>-21.769999999999996</v>
      </c>
      <c r="E87" s="117">
        <f>E71-E86</f>
        <v>-44.33000000000001</v>
      </c>
      <c r="F87" s="117"/>
      <c r="G87" s="117">
        <f>G71-G86</f>
        <v>225</v>
      </c>
      <c r="H87" s="117">
        <f>H71-H86</f>
        <v>104.30000000000001</v>
      </c>
      <c r="I87" s="117">
        <f>I71-I86</f>
        <v>94.79000000000002</v>
      </c>
    </row>
    <row r="88" spans="2:9" ht="12.75">
      <c r="B88" t="s">
        <v>27</v>
      </c>
      <c r="D88" s="93">
        <f>D87*D$35</f>
        <v>-10.884999999999998</v>
      </c>
      <c r="E88" s="93">
        <f>E87*E$35</f>
        <v>-22.165000000000006</v>
      </c>
      <c r="F88" s="96"/>
      <c r="G88" s="93">
        <f>G87*G$35</f>
        <v>75</v>
      </c>
      <c r="H88" s="93">
        <f>H87*H$35</f>
        <v>34.766666666666666</v>
      </c>
      <c r="I88" s="93">
        <f>I87*I$35</f>
        <v>31.59666666666667</v>
      </c>
    </row>
    <row r="89" spans="4:9" ht="12.75">
      <c r="D89" s="39"/>
      <c r="E89" s="39"/>
      <c r="F89" s="39"/>
      <c r="G89" s="39"/>
      <c r="H89" s="39"/>
      <c r="I89" s="39"/>
    </row>
    <row r="90" spans="2:9" ht="12.75">
      <c r="B90" s="9" t="s">
        <v>15</v>
      </c>
      <c r="D90" s="39" t="s">
        <v>2</v>
      </c>
      <c r="E90" s="39" t="s">
        <v>2</v>
      </c>
      <c r="F90" s="39"/>
      <c r="G90" s="39" t="s">
        <v>3</v>
      </c>
      <c r="H90" s="39" t="s">
        <v>3</v>
      </c>
      <c r="I90" s="39" t="s">
        <v>5</v>
      </c>
    </row>
    <row r="91" spans="4:9" ht="12.75">
      <c r="D91" s="91" t="s">
        <v>4</v>
      </c>
      <c r="E91" s="91" t="s">
        <v>18</v>
      </c>
      <c r="F91" s="91"/>
      <c r="G91" s="91" t="str">
        <f>G70</f>
        <v>Geen Beans</v>
      </c>
      <c r="H91" s="91" t="s">
        <v>1</v>
      </c>
      <c r="I91" s="91" t="s">
        <v>6</v>
      </c>
    </row>
    <row r="92" spans="2:9" ht="12.75">
      <c r="B92" t="s">
        <v>19</v>
      </c>
      <c r="D92" s="62">
        <f>D36*D44</f>
        <v>200</v>
      </c>
      <c r="E92" s="62">
        <f>E36*E44</f>
        <v>273</v>
      </c>
      <c r="F92" s="62"/>
      <c r="G92" s="62">
        <f>G36*G44</f>
        <v>225</v>
      </c>
      <c r="H92" s="62">
        <f>H36*H44</f>
        <v>420</v>
      </c>
      <c r="I92" s="62">
        <f>I36*I44</f>
        <v>225</v>
      </c>
    </row>
    <row r="93" spans="2:9" ht="12.75">
      <c r="B93" t="s">
        <v>12</v>
      </c>
      <c r="C93" s="2"/>
      <c r="D93" s="88">
        <f>D72</f>
        <v>3</v>
      </c>
      <c r="E93" s="88">
        <f>E72</f>
        <v>3.5</v>
      </c>
      <c r="F93" s="92"/>
      <c r="G93" s="88">
        <f>G72</f>
        <v>0</v>
      </c>
      <c r="H93" s="88">
        <f>H72</f>
        <v>4</v>
      </c>
      <c r="I93" s="88">
        <f>I72</f>
        <v>3.2</v>
      </c>
    </row>
    <row r="94" spans="2:9" ht="12.75">
      <c r="B94" t="s">
        <v>85</v>
      </c>
      <c r="C94" s="91" t="s">
        <v>11</v>
      </c>
      <c r="D94" s="39"/>
      <c r="E94" s="39"/>
      <c r="F94" s="39"/>
      <c r="G94" s="39"/>
      <c r="H94" s="39"/>
      <c r="I94" s="39"/>
    </row>
    <row r="95" spans="2:9" ht="12.75">
      <c r="B95" t="s">
        <v>7</v>
      </c>
      <c r="C95" s="2"/>
      <c r="D95" s="90">
        <f aca="true" t="shared" si="5" ref="D95:E97">D74</f>
        <v>19.29</v>
      </c>
      <c r="E95" s="90">
        <f t="shared" si="5"/>
        <v>29.25</v>
      </c>
      <c r="F95" s="62"/>
      <c r="G95" s="90">
        <f aca="true" t="shared" si="6" ref="G95:I97">G74</f>
        <v>0</v>
      </c>
      <c r="H95" s="90">
        <f t="shared" si="6"/>
        <v>0</v>
      </c>
      <c r="I95" s="90">
        <f t="shared" si="6"/>
        <v>21.43</v>
      </c>
    </row>
    <row r="96" spans="2:9" ht="12.75">
      <c r="B96" t="s">
        <v>25</v>
      </c>
      <c r="D96" s="90">
        <f t="shared" si="5"/>
        <v>24.6</v>
      </c>
      <c r="E96" s="90">
        <f t="shared" si="5"/>
        <v>46.2</v>
      </c>
      <c r="F96" s="62"/>
      <c r="G96" s="90">
        <f t="shared" si="6"/>
        <v>0</v>
      </c>
      <c r="H96" s="90">
        <f t="shared" si="6"/>
        <v>87.2</v>
      </c>
      <c r="I96" s="90">
        <f t="shared" si="6"/>
        <v>28.85</v>
      </c>
    </row>
    <row r="97" spans="2:9" ht="12.75">
      <c r="B97" t="s">
        <v>8</v>
      </c>
      <c r="D97" s="90">
        <f t="shared" si="5"/>
        <v>15</v>
      </c>
      <c r="E97" s="90">
        <f t="shared" si="5"/>
        <v>29.25</v>
      </c>
      <c r="F97" s="62"/>
      <c r="G97" s="90">
        <f t="shared" si="6"/>
        <v>0</v>
      </c>
      <c r="H97" s="90">
        <f t="shared" si="6"/>
        <v>58</v>
      </c>
      <c r="I97" s="90">
        <f t="shared" si="6"/>
        <v>15</v>
      </c>
    </row>
    <row r="98" spans="2:9" ht="12.75">
      <c r="B98" t="s">
        <v>136</v>
      </c>
      <c r="C98" s="90">
        <f>C77</f>
        <v>0.25</v>
      </c>
      <c r="D98" s="90">
        <f>D77</f>
        <v>0</v>
      </c>
      <c r="E98" s="93">
        <f>E44*C98</f>
        <v>35</v>
      </c>
      <c r="F98" s="62"/>
      <c r="G98" s="93">
        <v>0</v>
      </c>
      <c r="H98" s="90">
        <v>0</v>
      </c>
      <c r="I98" s="90">
        <v>0</v>
      </c>
    </row>
    <row r="99" spans="2:9" ht="12.75">
      <c r="B99" t="s">
        <v>140</v>
      </c>
      <c r="D99" s="90">
        <f aca="true" t="shared" si="7" ref="D99:E103">D78</f>
        <v>0</v>
      </c>
      <c r="E99" s="90">
        <f t="shared" si="7"/>
        <v>0</v>
      </c>
      <c r="F99" s="62"/>
      <c r="G99" s="93">
        <v>0</v>
      </c>
      <c r="H99" s="93">
        <f>$E$29*H45</f>
        <v>30</v>
      </c>
      <c r="I99" s="93">
        <f>$E$29*I45</f>
        <v>15</v>
      </c>
    </row>
    <row r="100" spans="2:9" ht="12.75">
      <c r="B100" t="s">
        <v>141</v>
      </c>
      <c r="C100" s="2"/>
      <c r="D100" s="90">
        <f t="shared" si="7"/>
        <v>6.38</v>
      </c>
      <c r="E100" s="90">
        <f t="shared" si="7"/>
        <v>8.63</v>
      </c>
      <c r="F100" s="62"/>
      <c r="G100" s="90">
        <v>0</v>
      </c>
      <c r="H100" s="90">
        <f>G100*0.6666</f>
        <v>0</v>
      </c>
      <c r="I100" s="90">
        <v>7.33</v>
      </c>
    </row>
    <row r="101" spans="2:9" ht="12.75">
      <c r="B101" t="s">
        <v>9</v>
      </c>
      <c r="C101" s="2"/>
      <c r="D101" s="90">
        <f t="shared" si="7"/>
        <v>18</v>
      </c>
      <c r="E101" s="90">
        <f t="shared" si="7"/>
        <v>22</v>
      </c>
      <c r="F101" s="62"/>
      <c r="G101" s="90">
        <v>0</v>
      </c>
      <c r="H101" s="90">
        <v>20</v>
      </c>
      <c r="I101" s="90">
        <v>18</v>
      </c>
    </row>
    <row r="102" spans="2:9" ht="12.75">
      <c r="B102" t="s">
        <v>10</v>
      </c>
      <c r="C102" s="2"/>
      <c r="D102" s="90">
        <f t="shared" si="7"/>
        <v>1.5</v>
      </c>
      <c r="E102" s="90">
        <f t="shared" si="7"/>
        <v>5.5</v>
      </c>
      <c r="F102" s="62"/>
      <c r="G102" s="90">
        <v>0</v>
      </c>
      <c r="H102" s="90">
        <v>1.5</v>
      </c>
      <c r="I102" s="90">
        <v>1.5</v>
      </c>
    </row>
    <row r="103" spans="2:9" ht="12.75">
      <c r="B103" t="s">
        <v>123</v>
      </c>
      <c r="C103" s="2"/>
      <c r="D103" s="90">
        <f t="shared" si="7"/>
        <v>0</v>
      </c>
      <c r="E103" s="90">
        <f t="shared" si="7"/>
        <v>0</v>
      </c>
      <c r="F103" s="62"/>
      <c r="G103" s="90">
        <v>0</v>
      </c>
      <c r="H103" s="90">
        <v>25</v>
      </c>
      <c r="I103" s="90">
        <v>0</v>
      </c>
    </row>
    <row r="104" spans="2:9" ht="12.75">
      <c r="B104" t="s">
        <v>22</v>
      </c>
      <c r="C104" s="90">
        <f>C83</f>
        <v>0.15</v>
      </c>
      <c r="D104" s="62">
        <f>D44*C104</f>
        <v>6</v>
      </c>
      <c r="E104" s="62">
        <f>E44*C104</f>
        <v>21</v>
      </c>
      <c r="F104" s="62"/>
      <c r="G104" s="62">
        <v>0</v>
      </c>
      <c r="H104" s="90">
        <v>15</v>
      </c>
      <c r="I104" s="62">
        <f>I44*C104</f>
        <v>6.75</v>
      </c>
    </row>
    <row r="105" spans="2:9" ht="12.75">
      <c r="B105" t="s">
        <v>23</v>
      </c>
      <c r="C105" s="90">
        <f>C84</f>
        <v>0.05</v>
      </c>
      <c r="D105" s="62">
        <f>D44*C105</f>
        <v>2</v>
      </c>
      <c r="E105" s="62">
        <f>E44*C105</f>
        <v>7</v>
      </c>
      <c r="F105" s="62"/>
      <c r="G105" s="62">
        <v>0</v>
      </c>
      <c r="H105" s="62">
        <f>C105*H44</f>
        <v>10</v>
      </c>
      <c r="I105" s="62">
        <f>I44*C105</f>
        <v>2.25</v>
      </c>
    </row>
    <row r="106" spans="2:9" ht="12.75">
      <c r="B106" s="3" t="s">
        <v>26</v>
      </c>
      <c r="D106" s="94">
        <f>D93*$E$28</f>
        <v>33</v>
      </c>
      <c r="E106" s="94">
        <f>E93*$E$28</f>
        <v>38.5</v>
      </c>
      <c r="F106" s="94"/>
      <c r="G106" s="94">
        <f>G93*$E$28</f>
        <v>0</v>
      </c>
      <c r="H106" s="94">
        <f>H93*$E$28</f>
        <v>44</v>
      </c>
      <c r="I106" s="94">
        <f>I93*$E$28</f>
        <v>35.2</v>
      </c>
    </row>
    <row r="107" spans="2:9" ht="12.75">
      <c r="B107" t="s">
        <v>13</v>
      </c>
      <c r="D107" s="95">
        <f>SUM(D95:D105)+D106</f>
        <v>125.77</v>
      </c>
      <c r="E107" s="95">
        <f>SUM(E95:E105)+E106</f>
        <v>242.32999999999998</v>
      </c>
      <c r="F107" s="95"/>
      <c r="G107" s="95">
        <f>SUM(G95:G105)+G106</f>
        <v>0</v>
      </c>
      <c r="H107" s="95">
        <f>SUM(H95:H105)+H106</f>
        <v>290.7</v>
      </c>
      <c r="I107" s="95">
        <f>SUM(I95:I105)+I106</f>
        <v>151.31</v>
      </c>
    </row>
    <row r="108" spans="2:9" ht="12.75">
      <c r="B108" t="s">
        <v>24</v>
      </c>
      <c r="C108" s="6"/>
      <c r="D108" s="117">
        <f>D92-D107</f>
        <v>74.23</v>
      </c>
      <c r="E108" s="117">
        <f>E92-E107</f>
        <v>30.670000000000016</v>
      </c>
      <c r="F108" s="117"/>
      <c r="G108" s="117">
        <f>G92-G107</f>
        <v>225</v>
      </c>
      <c r="H108" s="117">
        <f>H92-H107</f>
        <v>129.3</v>
      </c>
      <c r="I108" s="117">
        <f>I92-I107</f>
        <v>73.69</v>
      </c>
    </row>
    <row r="109" spans="2:9" ht="12.75">
      <c r="B109" t="s">
        <v>27</v>
      </c>
      <c r="D109" s="93">
        <f>D108*D$35</f>
        <v>37.115</v>
      </c>
      <c r="E109" s="93">
        <f>E108*E$35</f>
        <v>15.335000000000008</v>
      </c>
      <c r="F109" s="96"/>
      <c r="G109" s="93">
        <f>G108*G$35</f>
        <v>75</v>
      </c>
      <c r="H109" s="93">
        <f>H108*H$35</f>
        <v>43.1</v>
      </c>
      <c r="I109" s="93">
        <f>I108*I$35</f>
        <v>24.563333333333333</v>
      </c>
    </row>
    <row r="110" spans="4:9" ht="12.75">
      <c r="D110" s="39"/>
      <c r="E110" s="39"/>
      <c r="F110" s="39"/>
      <c r="G110" s="39"/>
      <c r="H110" s="39"/>
      <c r="I110" s="39"/>
    </row>
    <row r="111" spans="2:9" ht="12.75">
      <c r="B111" s="9" t="s">
        <v>28</v>
      </c>
      <c r="D111" s="39"/>
      <c r="E111" s="39"/>
      <c r="F111" s="39"/>
      <c r="G111" s="44"/>
      <c r="H111" s="44"/>
      <c r="I111" s="44"/>
    </row>
    <row r="112" spans="4:10" ht="12.75">
      <c r="D112" s="121" t="s">
        <v>148</v>
      </c>
      <c r="E112" s="119"/>
      <c r="F112" s="118"/>
      <c r="G112" s="119"/>
      <c r="H112" s="120" t="s">
        <v>147</v>
      </c>
      <c r="I112" s="119"/>
      <c r="J112" s="7"/>
    </row>
    <row r="113" spans="2:9" ht="12.75">
      <c r="B113" t="s">
        <v>16</v>
      </c>
      <c r="D113" s="62">
        <f>D67*B38</f>
        <v>6.557500000000001</v>
      </c>
      <c r="E113" s="62">
        <f>E67*B38</f>
        <v>-3.582499999999996</v>
      </c>
      <c r="F113" s="39"/>
      <c r="G113" s="93">
        <f>G67*B38</f>
        <v>37.5</v>
      </c>
      <c r="H113" s="93">
        <f>H67*B38</f>
        <v>19.05</v>
      </c>
      <c r="I113" s="93">
        <f>I67*B38</f>
        <v>15.031666666666666</v>
      </c>
    </row>
    <row r="114" spans="2:9" ht="12.75">
      <c r="B114" t="s">
        <v>14</v>
      </c>
      <c r="D114" s="62">
        <f>D88*B41</f>
        <v>-3.2654999999999994</v>
      </c>
      <c r="E114" s="62">
        <f>E88*B41</f>
        <v>-6.6495000000000015</v>
      </c>
      <c r="F114" s="39"/>
      <c r="G114" s="62">
        <f>G88*B41</f>
        <v>22.5</v>
      </c>
      <c r="H114" s="62">
        <f>H88*B41</f>
        <v>10.43</v>
      </c>
      <c r="I114" s="62">
        <f>I88*B41</f>
        <v>9.479000000000001</v>
      </c>
    </row>
    <row r="115" spans="2:9" ht="12.75">
      <c r="B115" t="s">
        <v>15</v>
      </c>
      <c r="D115" s="94">
        <f>D109*B44</f>
        <v>7.423000000000001</v>
      </c>
      <c r="E115" s="94">
        <f>E109*B44</f>
        <v>3.067000000000002</v>
      </c>
      <c r="F115" s="39"/>
      <c r="G115" s="94">
        <f>G109*B44</f>
        <v>15</v>
      </c>
      <c r="H115" s="94">
        <f>H109*B44</f>
        <v>8.620000000000001</v>
      </c>
      <c r="I115" s="94">
        <f>I109*B44</f>
        <v>4.9126666666666665</v>
      </c>
    </row>
    <row r="116" spans="3:9" ht="12.75">
      <c r="C116" s="5" t="s">
        <v>89</v>
      </c>
      <c r="D116" s="62">
        <f>SUM(D113:D115)</f>
        <v>10.715000000000003</v>
      </c>
      <c r="E116" s="62">
        <f>SUM(E113:E115)</f>
        <v>-7.164999999999996</v>
      </c>
      <c r="F116" s="39"/>
      <c r="G116" s="62">
        <f>SUM(G113:G115)</f>
        <v>75</v>
      </c>
      <c r="H116" s="62">
        <f>SUM(H113:H115)</f>
        <v>38.1</v>
      </c>
      <c r="I116" s="62">
        <f>SUM(I113:I115)</f>
        <v>29.423333333333332</v>
      </c>
    </row>
    <row r="117" spans="3:9" ht="12.75">
      <c r="C117" s="10"/>
      <c r="D117" s="39" t="s">
        <v>90</v>
      </c>
      <c r="E117" s="62">
        <f>D116+E116</f>
        <v>3.550000000000008</v>
      </c>
      <c r="F117" s="39"/>
      <c r="G117" s="39"/>
      <c r="H117" s="39"/>
      <c r="I117" s="62">
        <f>G116+H116+I116</f>
        <v>142.5233333333333</v>
      </c>
    </row>
    <row r="118" spans="4:9" ht="12.75">
      <c r="D118" s="97">
        <f>H6</f>
        <v>165</v>
      </c>
      <c r="E118" s="62">
        <f>E117*D118</f>
        <v>585.7500000000013</v>
      </c>
      <c r="F118" s="39"/>
      <c r="G118" s="39"/>
      <c r="H118" s="97">
        <f>H7</f>
        <v>156</v>
      </c>
      <c r="I118" s="62">
        <f>I117*H118</f>
        <v>22233.639999999996</v>
      </c>
    </row>
    <row r="121" ht="12.75">
      <c r="H121" s="91" t="s">
        <v>29</v>
      </c>
    </row>
    <row r="122" spans="5:9" ht="12.75">
      <c r="E122" s="39"/>
      <c r="F122" s="39"/>
      <c r="H122" s="62">
        <f>I118-E118</f>
        <v>21647.889999999996</v>
      </c>
      <c r="I122" s="39" t="s">
        <v>108</v>
      </c>
    </row>
    <row r="123" spans="4:9" ht="12.75">
      <c r="D123" s="39"/>
      <c r="E123" s="98"/>
      <c r="F123" s="39"/>
      <c r="G123" s="39"/>
      <c r="H123" s="62">
        <f>H122/H118</f>
        <v>138.7685256410256</v>
      </c>
      <c r="I123" s="99" t="s">
        <v>125</v>
      </c>
    </row>
  </sheetData>
  <sheetProtection/>
  <mergeCells count="1">
    <mergeCell ref="B1:E1"/>
  </mergeCells>
  <conditionalFormatting sqref="G25:G26 H22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.5" footer="0.5"/>
  <pageSetup fitToHeight="4" horizontalDpi="600" verticalDpi="600" orientation="portrait" scale="92" r:id="rId1"/>
  <rowBreaks count="2" manualBreakCount="2">
    <brk id="47" max="9" man="1"/>
    <brk id="8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7"/>
  <sheetViews>
    <sheetView workbookViewId="0" topLeftCell="A28">
      <selection activeCell="H67" sqref="H67"/>
    </sheetView>
  </sheetViews>
  <sheetFormatPr defaultColWidth="11.00390625" defaultRowHeight="12.75"/>
  <cols>
    <col min="1" max="5" width="11.00390625" style="15" customWidth="1"/>
    <col min="6" max="6" width="12.7109375" style="15" bestFit="1" customWidth="1"/>
    <col min="7" max="7" width="14.00390625" style="15" bestFit="1" customWidth="1"/>
    <col min="8" max="8" width="12.28125" style="15" bestFit="1" customWidth="1"/>
    <col min="9" max="27" width="11.00390625" style="15" customWidth="1"/>
    <col min="28" max="28" width="17.00390625" style="15" bestFit="1" customWidth="1"/>
    <col min="29" max="16384" width="11.00390625" style="15" customWidth="1"/>
  </cols>
  <sheetData>
    <row r="1" spans="1:8" ht="15.75">
      <c r="A1" s="11" t="s">
        <v>103</v>
      </c>
      <c r="B1" s="12"/>
      <c r="C1" s="12"/>
      <c r="D1" s="12"/>
      <c r="E1" s="12"/>
      <c r="F1" s="12"/>
      <c r="G1" s="13"/>
      <c r="H1" s="14"/>
    </row>
    <row r="2" spans="1:8" ht="12.75">
      <c r="A2" s="13"/>
      <c r="B2" s="13"/>
      <c r="C2" s="16"/>
      <c r="D2" s="16"/>
      <c r="E2" s="16"/>
      <c r="F2" s="16"/>
      <c r="G2" s="16"/>
      <c r="H2" s="14"/>
    </row>
    <row r="3" spans="2:8" ht="15.75">
      <c r="B3" s="35" t="s">
        <v>104</v>
      </c>
      <c r="C3" s="17" t="str">
        <f>Assmptns!B1</f>
        <v>160 Acre Irrigation System</v>
      </c>
      <c r="D3" s="18"/>
      <c r="E3" s="18"/>
      <c r="F3" s="18"/>
      <c r="G3" s="18"/>
      <c r="H3" s="13"/>
    </row>
    <row r="4" spans="1:8" ht="15.75">
      <c r="A4" s="13"/>
      <c r="B4" s="17"/>
      <c r="D4" s="18"/>
      <c r="E4" s="18"/>
      <c r="F4" s="18"/>
      <c r="G4" s="18"/>
      <c r="H4" s="14"/>
    </row>
    <row r="5" spans="1:8" ht="12.75">
      <c r="A5" s="19" t="s">
        <v>102</v>
      </c>
      <c r="B5" s="20"/>
      <c r="C5" s="20"/>
      <c r="D5" s="20"/>
      <c r="E5" s="20"/>
      <c r="F5" s="20"/>
      <c r="G5" s="13"/>
      <c r="H5" s="14"/>
    </row>
    <row r="6" spans="1:8" ht="12.75">
      <c r="A6" s="14" t="s">
        <v>30</v>
      </c>
      <c r="B6" s="13"/>
      <c r="C6" s="13"/>
      <c r="D6" s="13"/>
      <c r="E6" s="13"/>
      <c r="F6" s="13"/>
      <c r="G6" s="13"/>
      <c r="H6" s="13"/>
    </row>
    <row r="7" spans="1:8" ht="12.75">
      <c r="A7" s="13"/>
      <c r="B7" s="13"/>
      <c r="C7" s="13"/>
      <c r="D7" s="13"/>
      <c r="E7" s="13"/>
      <c r="F7" s="13"/>
      <c r="G7" s="21" t="s">
        <v>31</v>
      </c>
      <c r="H7" s="13"/>
    </row>
    <row r="8" spans="1:36" ht="12.75">
      <c r="A8" s="13"/>
      <c r="B8" s="19" t="s">
        <v>32</v>
      </c>
      <c r="C8" s="20"/>
      <c r="D8" s="20"/>
      <c r="E8" s="20"/>
      <c r="F8" s="20"/>
      <c r="G8" s="22" t="s">
        <v>33</v>
      </c>
      <c r="H8" s="13"/>
      <c r="AE8" s="23" t="s">
        <v>34</v>
      </c>
      <c r="AJ8" s="23" t="s">
        <v>114</v>
      </c>
    </row>
    <row r="9" spans="1:36" ht="15">
      <c r="A9" s="14" t="s">
        <v>35</v>
      </c>
      <c r="B9" s="13"/>
      <c r="C9" s="13" t="s">
        <v>33</v>
      </c>
      <c r="D9" s="13" t="s">
        <v>33</v>
      </c>
      <c r="E9" s="13" t="s">
        <v>33</v>
      </c>
      <c r="F9" s="13" t="s">
        <v>33</v>
      </c>
      <c r="G9" s="24">
        <f>Assmptns!H4</f>
        <v>2004</v>
      </c>
      <c r="H9" s="13"/>
      <c r="AA9" s="23" t="s">
        <v>36</v>
      </c>
      <c r="AB9" s="67">
        <f>PMT(G13,G14,-G12,0)</f>
        <v>18233.136931088844</v>
      </c>
      <c r="AE9" s="23" t="s">
        <v>37</v>
      </c>
      <c r="AJ9" s="23" t="s">
        <v>38</v>
      </c>
    </row>
    <row r="10" spans="1:41" ht="15">
      <c r="A10" s="14" t="s">
        <v>39</v>
      </c>
      <c r="B10" s="13"/>
      <c r="C10" s="13"/>
      <c r="D10" s="13" t="s">
        <v>33</v>
      </c>
      <c r="E10" s="13" t="s">
        <v>33</v>
      </c>
      <c r="F10" s="13" t="s">
        <v>33</v>
      </c>
      <c r="G10" s="26">
        <f>Assmptns!H5</f>
        <v>160000</v>
      </c>
      <c r="H10" s="13"/>
      <c r="AA10" s="23" t="s">
        <v>40</v>
      </c>
      <c r="AB10" s="23" t="s">
        <v>130</v>
      </c>
      <c r="AC10" s="27" t="s">
        <v>41</v>
      </c>
      <c r="AD10" s="23" t="s">
        <v>42</v>
      </c>
      <c r="AE10" s="28" t="s">
        <v>43</v>
      </c>
      <c r="AF10" s="28" t="s">
        <v>44</v>
      </c>
      <c r="AG10" s="28" t="s">
        <v>45</v>
      </c>
      <c r="AH10" s="28" t="s">
        <v>46</v>
      </c>
      <c r="AI10" s="23" t="s">
        <v>47</v>
      </c>
      <c r="AJ10" s="28" t="s">
        <v>48</v>
      </c>
      <c r="AK10" s="28" t="s">
        <v>49</v>
      </c>
      <c r="AL10" s="28" t="s">
        <v>45</v>
      </c>
      <c r="AM10" s="28" t="s">
        <v>46</v>
      </c>
      <c r="AN10" s="23" t="s">
        <v>47</v>
      </c>
      <c r="AO10" s="23" t="s">
        <v>50</v>
      </c>
    </row>
    <row r="11" spans="1:41" ht="15">
      <c r="A11" s="14" t="s">
        <v>51</v>
      </c>
      <c r="B11" s="13"/>
      <c r="C11" s="13"/>
      <c r="D11" s="13"/>
      <c r="E11" s="13" t="s">
        <v>33</v>
      </c>
      <c r="F11" s="13" t="s">
        <v>33</v>
      </c>
      <c r="G11" s="26">
        <f>Assmptns!H5</f>
        <v>160000</v>
      </c>
      <c r="H11" s="13"/>
      <c r="AA11" s="25">
        <v>1</v>
      </c>
      <c r="AB11" s="68">
        <f>G12</f>
        <v>100000</v>
      </c>
      <c r="AC11" s="69">
        <f>+AB$9-AD11</f>
        <v>11733.136931088844</v>
      </c>
      <c r="AD11" s="68">
        <f aca="true" t="shared" si="0" ref="AD11:AD36">$G$13*AB11</f>
        <v>6500</v>
      </c>
      <c r="AE11" s="25">
        <v>0.25</v>
      </c>
      <c r="AF11" s="25">
        <v>0.15</v>
      </c>
      <c r="AG11" s="25">
        <v>0.1071</v>
      </c>
      <c r="AH11" s="25">
        <v>0.075</v>
      </c>
      <c r="AI11" s="25">
        <v>0.0375</v>
      </c>
      <c r="AJ11" s="25">
        <f>$G$21+($G$11-$G$21)*AE11</f>
        <v>77500</v>
      </c>
      <c r="AK11" s="25">
        <f>$G$21+($G$11-$G$21)*AF11</f>
        <v>66500</v>
      </c>
      <c r="AL11" s="25">
        <f>$G$21+($G$11-$G$21)*AG11</f>
        <v>61781</v>
      </c>
      <c r="AM11" s="25">
        <f>$G$21+($G$11-$G$21)*AH11</f>
        <v>58250</v>
      </c>
      <c r="AN11" s="25">
        <f>$G$21+($G$11-$G$21)*AI11</f>
        <v>54125</v>
      </c>
      <c r="AO11" s="25">
        <f>IF(AA11&gt;$G$19,0,$G$21+(($G$11-G21)/$G$19)*0.5)</f>
        <v>55500</v>
      </c>
    </row>
    <row r="12" spans="1:41" ht="15">
      <c r="A12" s="14" t="s">
        <v>126</v>
      </c>
      <c r="B12" s="13"/>
      <c r="C12" s="13"/>
      <c r="D12" s="13"/>
      <c r="E12" s="13"/>
      <c r="F12" s="13"/>
      <c r="G12" s="26">
        <f>Assmptns!H10</f>
        <v>100000</v>
      </c>
      <c r="H12" s="13"/>
      <c r="AA12" s="25">
        <v>2</v>
      </c>
      <c r="AB12" s="70">
        <f aca="true" t="shared" si="1" ref="AB12:AB36">IF((AB11-AC11)&gt;0,(AB11-AC11),0)</f>
        <v>88266.86306891116</v>
      </c>
      <c r="AC12" s="69">
        <f aca="true" t="shared" si="2" ref="AC12:AC36">IF((AB$9-AD12)&gt;AB12,AB12,(AB$9-AD12))</f>
        <v>12495.790831609618</v>
      </c>
      <c r="AD12" s="68">
        <f t="shared" si="0"/>
        <v>5737.346099479226</v>
      </c>
      <c r="AE12" s="25">
        <v>0.375</v>
      </c>
      <c r="AF12" s="25">
        <v>0.225</v>
      </c>
      <c r="AG12" s="25">
        <v>0.1913</v>
      </c>
      <c r="AH12" s="25">
        <v>0.1388</v>
      </c>
      <c r="AI12" s="25">
        <v>0.07219</v>
      </c>
      <c r="AJ12" s="25">
        <f aca="true" t="shared" si="3" ref="AJ12:AJ23">($G$11-$G$21)*AE12</f>
        <v>41250</v>
      </c>
      <c r="AK12" s="25">
        <f aca="true" t="shared" si="4" ref="AK12:AK23">($G$11-$G$21)*AF12</f>
        <v>24750</v>
      </c>
      <c r="AL12" s="25">
        <f aca="true" t="shared" si="5" ref="AL12:AL23">($G$11-$G$21)*AG12</f>
        <v>21043</v>
      </c>
      <c r="AM12" s="25">
        <f aca="true" t="shared" si="6" ref="AM12:AM23">($G$11-$G$21)*AH12</f>
        <v>15268</v>
      </c>
      <c r="AN12" s="25">
        <f aca="true" t="shared" si="7" ref="AN12:AN23">($G$11-$G$21)*AI12</f>
        <v>7940.900000000001</v>
      </c>
      <c r="AO12" s="25">
        <f aca="true" t="shared" si="8" ref="AO12:AO36">IF(AA12&gt;($G$19+1),0,IF(AA12=($G$19+1),$AO$11-$G$21,($G$11-$G$21)/$G$19))</f>
        <v>11000</v>
      </c>
    </row>
    <row r="13" spans="1:41" ht="15">
      <c r="A13" s="14" t="s">
        <v>127</v>
      </c>
      <c r="B13" s="13"/>
      <c r="C13" s="13"/>
      <c r="D13" s="13"/>
      <c r="E13" s="13"/>
      <c r="F13" s="13" t="s">
        <v>33</v>
      </c>
      <c r="G13" s="29">
        <f>Assmptns!H11</f>
        <v>0.065</v>
      </c>
      <c r="H13" s="13"/>
      <c r="AA13" s="25">
        <v>3</v>
      </c>
      <c r="AB13" s="70">
        <f t="shared" si="1"/>
        <v>75771.07223730155</v>
      </c>
      <c r="AC13" s="69">
        <f t="shared" si="2"/>
        <v>13308.017235664243</v>
      </c>
      <c r="AD13" s="68">
        <f t="shared" si="0"/>
        <v>4925.119695424601</v>
      </c>
      <c r="AE13" s="25">
        <v>0.25</v>
      </c>
      <c r="AF13" s="25">
        <v>0.1785</v>
      </c>
      <c r="AG13" s="25">
        <v>0.1503</v>
      </c>
      <c r="AH13" s="25">
        <v>0.1179</v>
      </c>
      <c r="AI13" s="25">
        <v>0.06677</v>
      </c>
      <c r="AJ13" s="25">
        <f t="shared" si="3"/>
        <v>27500</v>
      </c>
      <c r="AK13" s="25">
        <f t="shared" si="4"/>
        <v>19635</v>
      </c>
      <c r="AL13" s="25">
        <f t="shared" si="5"/>
        <v>16533</v>
      </c>
      <c r="AM13" s="25">
        <f t="shared" si="6"/>
        <v>12969</v>
      </c>
      <c r="AN13" s="25">
        <f t="shared" si="7"/>
        <v>7344.7</v>
      </c>
      <c r="AO13" s="25">
        <f t="shared" si="8"/>
        <v>11000</v>
      </c>
    </row>
    <row r="14" spans="1:41" ht="15">
      <c r="A14" s="14" t="s">
        <v>128</v>
      </c>
      <c r="B14" s="13"/>
      <c r="C14" s="13"/>
      <c r="D14" s="13"/>
      <c r="E14" s="13" t="s">
        <v>33</v>
      </c>
      <c r="F14" s="13" t="s">
        <v>33</v>
      </c>
      <c r="G14" s="24">
        <f>Assmptns!H12</f>
        <v>7</v>
      </c>
      <c r="H14" s="13"/>
      <c r="AA14" s="25">
        <v>4</v>
      </c>
      <c r="AB14" s="70">
        <f t="shared" si="1"/>
        <v>62463.0550016373</v>
      </c>
      <c r="AC14" s="69">
        <f t="shared" si="2"/>
        <v>14173.038355982419</v>
      </c>
      <c r="AD14" s="68">
        <f t="shared" si="0"/>
        <v>4060.098575106425</v>
      </c>
      <c r="AE14" s="25">
        <v>0.125</v>
      </c>
      <c r="AF14" s="25">
        <v>0.1666</v>
      </c>
      <c r="AG14" s="25">
        <v>0.1225</v>
      </c>
      <c r="AH14" s="25">
        <v>0.1002</v>
      </c>
      <c r="AI14" s="25">
        <v>0.06177</v>
      </c>
      <c r="AJ14" s="25">
        <f t="shared" si="3"/>
        <v>13750</v>
      </c>
      <c r="AK14" s="25">
        <f t="shared" si="4"/>
        <v>18326</v>
      </c>
      <c r="AL14" s="25">
        <f t="shared" si="5"/>
        <v>13475</v>
      </c>
      <c r="AM14" s="25">
        <f t="shared" si="6"/>
        <v>11022</v>
      </c>
      <c r="AN14" s="25">
        <f t="shared" si="7"/>
        <v>6794.7</v>
      </c>
      <c r="AO14" s="25">
        <f t="shared" si="8"/>
        <v>11000</v>
      </c>
    </row>
    <row r="15" spans="1:41" ht="15">
      <c r="A15" s="14" t="s">
        <v>129</v>
      </c>
      <c r="B15" s="19"/>
      <c r="C15" s="20"/>
      <c r="D15" s="13"/>
      <c r="E15" s="13"/>
      <c r="F15" s="13"/>
      <c r="G15" s="24">
        <f>Assmptns!H8</f>
        <v>20</v>
      </c>
      <c r="H15" s="13"/>
      <c r="AA15" s="25">
        <v>5</v>
      </c>
      <c r="AB15" s="70">
        <f t="shared" si="1"/>
        <v>48290.01664565488</v>
      </c>
      <c r="AC15" s="69">
        <f t="shared" si="2"/>
        <v>15094.285849121276</v>
      </c>
      <c r="AD15" s="68">
        <f t="shared" si="0"/>
        <v>3138.8510819675676</v>
      </c>
      <c r="AF15" s="25">
        <v>0.1666</v>
      </c>
      <c r="AG15" s="25">
        <v>0.1225</v>
      </c>
      <c r="AH15" s="25">
        <v>0.0874</v>
      </c>
      <c r="AI15" s="25">
        <v>0.05713</v>
      </c>
      <c r="AJ15" s="25">
        <f t="shared" si="3"/>
        <v>0</v>
      </c>
      <c r="AK15" s="25">
        <f t="shared" si="4"/>
        <v>18326</v>
      </c>
      <c r="AL15" s="25">
        <f t="shared" si="5"/>
        <v>13475</v>
      </c>
      <c r="AM15" s="25">
        <f t="shared" si="6"/>
        <v>9614</v>
      </c>
      <c r="AN15" s="25">
        <f t="shared" si="7"/>
        <v>6284.3</v>
      </c>
      <c r="AO15" s="25">
        <f t="shared" si="8"/>
        <v>11000</v>
      </c>
    </row>
    <row r="16" spans="1:41" ht="15">
      <c r="A16" s="13"/>
      <c r="B16" s="19" t="s">
        <v>52</v>
      </c>
      <c r="C16" s="20"/>
      <c r="D16" s="20"/>
      <c r="E16" s="20"/>
      <c r="F16" s="13"/>
      <c r="G16" s="30"/>
      <c r="H16" s="13"/>
      <c r="AA16" s="25">
        <v>6</v>
      </c>
      <c r="AB16" s="70">
        <f t="shared" si="1"/>
        <v>33195.73079653361</v>
      </c>
      <c r="AC16" s="69">
        <f t="shared" si="2"/>
        <v>16075.41442931416</v>
      </c>
      <c r="AD16" s="68">
        <f t="shared" si="0"/>
        <v>2157.7225017746846</v>
      </c>
      <c r="AF16" s="25">
        <f>0.0833+0.03</f>
        <v>0.1133</v>
      </c>
      <c r="AG16" s="25">
        <v>0.1255</v>
      </c>
      <c r="AH16" s="25">
        <v>0.0874</v>
      </c>
      <c r="AI16" s="25">
        <v>0.05285</v>
      </c>
      <c r="AJ16" s="25">
        <f t="shared" si="3"/>
        <v>0</v>
      </c>
      <c r="AK16" s="25">
        <f t="shared" si="4"/>
        <v>12463</v>
      </c>
      <c r="AL16" s="25">
        <f t="shared" si="5"/>
        <v>13805</v>
      </c>
      <c r="AM16" s="25">
        <f t="shared" si="6"/>
        <v>9614</v>
      </c>
      <c r="AN16" s="25">
        <f t="shared" si="7"/>
        <v>5813.5</v>
      </c>
      <c r="AO16" s="25">
        <f t="shared" si="8"/>
        <v>11000</v>
      </c>
    </row>
    <row r="17" spans="1:41" ht="15">
      <c r="A17" s="14" t="s">
        <v>53</v>
      </c>
      <c r="B17" s="13"/>
      <c r="C17" s="13"/>
      <c r="D17" s="13"/>
      <c r="E17" s="13"/>
      <c r="F17" s="13" t="s">
        <v>33</v>
      </c>
      <c r="G17" s="29">
        <f>Assmptns!H15</f>
        <v>0.25</v>
      </c>
      <c r="H17" s="13"/>
      <c r="AA17" s="25">
        <v>7</v>
      </c>
      <c r="AB17" s="70">
        <f t="shared" si="1"/>
        <v>17120.31636721945</v>
      </c>
      <c r="AC17" s="69">
        <f t="shared" si="2"/>
        <v>17120.31636721945</v>
      </c>
      <c r="AD17" s="68">
        <f t="shared" si="0"/>
        <v>1112.8205638692643</v>
      </c>
      <c r="AG17" s="25">
        <v>0.1225</v>
      </c>
      <c r="AH17" s="25">
        <v>0.0874</v>
      </c>
      <c r="AI17" s="25">
        <v>0.04888</v>
      </c>
      <c r="AJ17" s="25">
        <f t="shared" si="3"/>
        <v>0</v>
      </c>
      <c r="AK17" s="25">
        <f t="shared" si="4"/>
        <v>0</v>
      </c>
      <c r="AL17" s="25">
        <f t="shared" si="5"/>
        <v>13475</v>
      </c>
      <c r="AM17" s="25">
        <f t="shared" si="6"/>
        <v>9614</v>
      </c>
      <c r="AN17" s="25">
        <f t="shared" si="7"/>
        <v>5376.8</v>
      </c>
      <c r="AO17" s="25">
        <f t="shared" si="8"/>
        <v>11000</v>
      </c>
    </row>
    <row r="18" spans="1:41" ht="15">
      <c r="A18" s="14" t="s">
        <v>54</v>
      </c>
      <c r="B18" s="13"/>
      <c r="C18" s="13"/>
      <c r="D18" s="13"/>
      <c r="E18" s="13"/>
      <c r="F18" s="13" t="s">
        <v>33</v>
      </c>
      <c r="G18" s="24">
        <f>Assmptns!H16</f>
        <v>7</v>
      </c>
      <c r="H18" s="13"/>
      <c r="AA18" s="25">
        <v>8</v>
      </c>
      <c r="AB18" s="70">
        <f t="shared" si="1"/>
        <v>0</v>
      </c>
      <c r="AC18" s="69">
        <f t="shared" si="2"/>
        <v>0</v>
      </c>
      <c r="AD18" s="68">
        <f t="shared" si="0"/>
        <v>0</v>
      </c>
      <c r="AG18" s="25">
        <f>0.0613-0.003</f>
        <v>0.0583</v>
      </c>
      <c r="AH18" s="25">
        <v>0.0874</v>
      </c>
      <c r="AI18" s="25">
        <v>0.04522</v>
      </c>
      <c r="AJ18" s="25">
        <f t="shared" si="3"/>
        <v>0</v>
      </c>
      <c r="AK18" s="25">
        <f t="shared" si="4"/>
        <v>0</v>
      </c>
      <c r="AL18" s="25">
        <f t="shared" si="5"/>
        <v>6413</v>
      </c>
      <c r="AM18" s="25">
        <f t="shared" si="6"/>
        <v>9614</v>
      </c>
      <c r="AN18" s="25">
        <f t="shared" si="7"/>
        <v>4974.200000000001</v>
      </c>
      <c r="AO18" s="25">
        <f t="shared" si="8"/>
        <v>11000</v>
      </c>
    </row>
    <row r="19" spans="1:41" ht="15">
      <c r="A19" s="14" t="s">
        <v>55</v>
      </c>
      <c r="B19" s="13"/>
      <c r="C19" s="13"/>
      <c r="D19" s="13"/>
      <c r="E19" s="13" t="s">
        <v>33</v>
      </c>
      <c r="F19" s="13" t="s">
        <v>33</v>
      </c>
      <c r="G19" s="24">
        <f>Assmptns!H17</f>
        <v>10</v>
      </c>
      <c r="H19" s="13"/>
      <c r="AA19" s="25">
        <v>9</v>
      </c>
      <c r="AB19" s="70">
        <f t="shared" si="1"/>
        <v>0</v>
      </c>
      <c r="AC19" s="69">
        <f t="shared" si="2"/>
        <v>0</v>
      </c>
      <c r="AD19" s="68">
        <f t="shared" si="0"/>
        <v>0</v>
      </c>
      <c r="AH19" s="25">
        <v>0.0874</v>
      </c>
      <c r="AI19" s="25">
        <v>0.04522</v>
      </c>
      <c r="AJ19" s="25">
        <f t="shared" si="3"/>
        <v>0</v>
      </c>
      <c r="AK19" s="25">
        <f t="shared" si="4"/>
        <v>0</v>
      </c>
      <c r="AL19" s="25">
        <f t="shared" si="5"/>
        <v>0</v>
      </c>
      <c r="AM19" s="25">
        <f t="shared" si="6"/>
        <v>9614</v>
      </c>
      <c r="AN19" s="25">
        <f t="shared" si="7"/>
        <v>4974.200000000001</v>
      </c>
      <c r="AO19" s="25">
        <f t="shared" si="8"/>
        <v>11000</v>
      </c>
    </row>
    <row r="20" spans="1:41" ht="15">
      <c r="A20" s="14" t="s">
        <v>56</v>
      </c>
      <c r="B20" s="13"/>
      <c r="C20" s="13"/>
      <c r="D20" s="13"/>
      <c r="E20" s="13"/>
      <c r="F20" s="13" t="s">
        <v>33</v>
      </c>
      <c r="G20" s="24">
        <f>Assmptns!H18</f>
        <v>1</v>
      </c>
      <c r="H20" s="13"/>
      <c r="AA20" s="25">
        <v>10</v>
      </c>
      <c r="AB20" s="70">
        <f t="shared" si="1"/>
        <v>0</v>
      </c>
      <c r="AC20" s="69">
        <f t="shared" si="2"/>
        <v>0</v>
      </c>
      <c r="AD20" s="68">
        <f t="shared" si="0"/>
        <v>0</v>
      </c>
      <c r="AH20" s="25">
        <v>0.0874</v>
      </c>
      <c r="AI20" s="25">
        <v>0.04522</v>
      </c>
      <c r="AJ20" s="25">
        <f t="shared" si="3"/>
        <v>0</v>
      </c>
      <c r="AK20" s="25">
        <f t="shared" si="4"/>
        <v>0</v>
      </c>
      <c r="AL20" s="25">
        <f t="shared" si="5"/>
        <v>0</v>
      </c>
      <c r="AM20" s="25">
        <f t="shared" si="6"/>
        <v>9614</v>
      </c>
      <c r="AN20" s="25">
        <f t="shared" si="7"/>
        <v>4974.200000000001</v>
      </c>
      <c r="AO20" s="25">
        <f t="shared" si="8"/>
        <v>11000</v>
      </c>
    </row>
    <row r="21" spans="1:41" ht="15">
      <c r="A21" s="14" t="s">
        <v>83</v>
      </c>
      <c r="B21" s="13"/>
      <c r="C21" s="13"/>
      <c r="D21" s="13"/>
      <c r="E21" s="13"/>
      <c r="F21" s="13"/>
      <c r="G21" s="26">
        <f>Assmptns!H19</f>
        <v>50000</v>
      </c>
      <c r="H21" s="13"/>
      <c r="AA21" s="25">
        <v>11</v>
      </c>
      <c r="AB21" s="70">
        <f t="shared" si="1"/>
        <v>0</v>
      </c>
      <c r="AC21" s="69">
        <f t="shared" si="2"/>
        <v>0</v>
      </c>
      <c r="AD21" s="68">
        <f t="shared" si="0"/>
        <v>0</v>
      </c>
      <c r="AH21" s="25">
        <v>0.0437</v>
      </c>
      <c r="AI21" s="25">
        <v>0.04522</v>
      </c>
      <c r="AJ21" s="25">
        <f t="shared" si="3"/>
        <v>0</v>
      </c>
      <c r="AK21" s="25">
        <f t="shared" si="4"/>
        <v>0</v>
      </c>
      <c r="AL21" s="25">
        <f t="shared" si="5"/>
        <v>0</v>
      </c>
      <c r="AM21" s="25">
        <f t="shared" si="6"/>
        <v>4807</v>
      </c>
      <c r="AN21" s="25">
        <f t="shared" si="7"/>
        <v>4974.200000000001</v>
      </c>
      <c r="AO21" s="25">
        <f t="shared" si="8"/>
        <v>5500</v>
      </c>
    </row>
    <row r="22" spans="1:41" ht="15">
      <c r="A22" s="14" t="s">
        <v>57</v>
      </c>
      <c r="B22" s="13"/>
      <c r="C22" s="13"/>
      <c r="D22" s="13"/>
      <c r="E22" s="13"/>
      <c r="F22" s="13" t="s">
        <v>33</v>
      </c>
      <c r="G22" s="29">
        <f>Assmptns!H20</f>
        <v>0.1</v>
      </c>
      <c r="H22" s="13" t="s">
        <v>119</v>
      </c>
      <c r="AA22" s="25">
        <v>12</v>
      </c>
      <c r="AB22" s="70">
        <f t="shared" si="1"/>
        <v>0</v>
      </c>
      <c r="AC22" s="69">
        <f t="shared" si="2"/>
        <v>0</v>
      </c>
      <c r="AD22" s="68">
        <f t="shared" si="0"/>
        <v>0</v>
      </c>
      <c r="AI22" s="25">
        <v>0.04522</v>
      </c>
      <c r="AJ22" s="25">
        <f t="shared" si="3"/>
        <v>0</v>
      </c>
      <c r="AK22" s="25">
        <f t="shared" si="4"/>
        <v>0</v>
      </c>
      <c r="AL22" s="25">
        <f t="shared" si="5"/>
        <v>0</v>
      </c>
      <c r="AM22" s="25">
        <f t="shared" si="6"/>
        <v>0</v>
      </c>
      <c r="AN22" s="25">
        <f t="shared" si="7"/>
        <v>4974.200000000001</v>
      </c>
      <c r="AO22" s="25">
        <f t="shared" si="8"/>
        <v>0</v>
      </c>
    </row>
    <row r="23" spans="1:41" ht="15">
      <c r="A23" s="14" t="s">
        <v>131</v>
      </c>
      <c r="B23" s="13"/>
      <c r="C23" s="13"/>
      <c r="D23" s="13"/>
      <c r="E23" s="13"/>
      <c r="F23" s="13"/>
      <c r="G23" s="29">
        <f>G22*(1-G17)</f>
        <v>0.07500000000000001</v>
      </c>
      <c r="H23" s="13"/>
      <c r="AA23" s="25">
        <v>13</v>
      </c>
      <c r="AB23" s="70">
        <f t="shared" si="1"/>
        <v>0</v>
      </c>
      <c r="AC23" s="69">
        <f t="shared" si="2"/>
        <v>0</v>
      </c>
      <c r="AD23" s="68">
        <f t="shared" si="0"/>
        <v>0</v>
      </c>
      <c r="AI23" s="25">
        <v>0.04522</v>
      </c>
      <c r="AJ23" s="25">
        <f t="shared" si="3"/>
        <v>0</v>
      </c>
      <c r="AK23" s="25">
        <f t="shared" si="4"/>
        <v>0</v>
      </c>
      <c r="AL23" s="25">
        <f t="shared" si="5"/>
        <v>0</v>
      </c>
      <c r="AM23" s="25">
        <f t="shared" si="6"/>
        <v>0</v>
      </c>
      <c r="AN23" s="25">
        <f t="shared" si="7"/>
        <v>4974.200000000001</v>
      </c>
      <c r="AO23" s="25">
        <f t="shared" si="8"/>
        <v>0</v>
      </c>
    </row>
    <row r="24" spans="1:41" ht="12.75">
      <c r="A24" s="14"/>
      <c r="B24" s="13"/>
      <c r="C24" s="13"/>
      <c r="D24" s="13"/>
      <c r="E24" s="13"/>
      <c r="F24" s="13"/>
      <c r="G24" s="13"/>
      <c r="H24" s="13"/>
      <c r="AA24" s="25">
        <v>14</v>
      </c>
      <c r="AB24" s="70">
        <f t="shared" si="1"/>
        <v>0</v>
      </c>
      <c r="AC24" s="69">
        <f t="shared" si="2"/>
        <v>0</v>
      </c>
      <c r="AD24" s="68">
        <f t="shared" si="0"/>
        <v>0</v>
      </c>
      <c r="AI24" s="25">
        <v>0.04522</v>
      </c>
      <c r="AJ24" s="25">
        <f aca="true" t="shared" si="9" ref="AJ24:AN31">($G$11-$G$21)*AE24</f>
        <v>0</v>
      </c>
      <c r="AK24" s="25">
        <f t="shared" si="9"/>
        <v>0</v>
      </c>
      <c r="AL24" s="25">
        <f t="shared" si="9"/>
        <v>0</v>
      </c>
      <c r="AM24" s="25">
        <f t="shared" si="9"/>
        <v>0</v>
      </c>
      <c r="AN24" s="25">
        <f t="shared" si="9"/>
        <v>4974.200000000001</v>
      </c>
      <c r="AO24" s="25">
        <f t="shared" si="8"/>
        <v>0</v>
      </c>
    </row>
    <row r="25" spans="1:41" ht="18">
      <c r="A25" s="19" t="s">
        <v>100</v>
      </c>
      <c r="B25" s="20"/>
      <c r="C25" s="20"/>
      <c r="D25" s="20"/>
      <c r="F25" s="31"/>
      <c r="G25" s="61">
        <f>J63*(-1)</f>
        <v>52089.74997240251</v>
      </c>
      <c r="H25" s="13"/>
      <c r="AA25" s="25">
        <v>15</v>
      </c>
      <c r="AB25" s="70">
        <f t="shared" si="1"/>
        <v>0</v>
      </c>
      <c r="AC25" s="69">
        <f t="shared" si="2"/>
        <v>0</v>
      </c>
      <c r="AD25" s="68">
        <f t="shared" si="0"/>
        <v>0</v>
      </c>
      <c r="AI25" s="25">
        <v>0.04522</v>
      </c>
      <c r="AJ25" s="25">
        <f t="shared" si="9"/>
        <v>0</v>
      </c>
      <c r="AK25" s="25">
        <f t="shared" si="9"/>
        <v>0</v>
      </c>
      <c r="AL25" s="25">
        <f t="shared" si="9"/>
        <v>0</v>
      </c>
      <c r="AM25" s="25">
        <f t="shared" si="9"/>
        <v>0</v>
      </c>
      <c r="AN25" s="25">
        <f t="shared" si="9"/>
        <v>4974.200000000001</v>
      </c>
      <c r="AO25" s="25">
        <f t="shared" si="8"/>
        <v>0</v>
      </c>
    </row>
    <row r="26" spans="1:41" ht="12.75">
      <c r="A26" s="20"/>
      <c r="B26" s="20"/>
      <c r="C26" s="20"/>
      <c r="D26" s="20"/>
      <c r="E26" s="20"/>
      <c r="F26" s="32"/>
      <c r="G26" s="33"/>
      <c r="H26" s="13"/>
      <c r="AA26" s="25">
        <v>16</v>
      </c>
      <c r="AB26" s="70">
        <f t="shared" si="1"/>
        <v>0</v>
      </c>
      <c r="AC26" s="69">
        <f t="shared" si="2"/>
        <v>0</v>
      </c>
      <c r="AD26" s="68">
        <f t="shared" si="0"/>
        <v>0</v>
      </c>
      <c r="AI26" s="25">
        <v>0.04522</v>
      </c>
      <c r="AJ26" s="25">
        <f t="shared" si="9"/>
        <v>0</v>
      </c>
      <c r="AK26" s="25">
        <f t="shared" si="9"/>
        <v>0</v>
      </c>
      <c r="AL26" s="25">
        <f t="shared" si="9"/>
        <v>0</v>
      </c>
      <c r="AM26" s="25">
        <f t="shared" si="9"/>
        <v>0</v>
      </c>
      <c r="AN26" s="25">
        <f t="shared" si="9"/>
        <v>4974.200000000001</v>
      </c>
      <c r="AO26" s="25">
        <f t="shared" si="8"/>
        <v>0</v>
      </c>
    </row>
    <row r="27" spans="1:41" ht="12.75">
      <c r="A27" s="20"/>
      <c r="B27" s="20"/>
      <c r="C27" s="20"/>
      <c r="D27" s="20"/>
      <c r="E27" s="20"/>
      <c r="F27" s="31"/>
      <c r="G27" s="31"/>
      <c r="H27" s="13"/>
      <c r="AA27" s="25">
        <v>17</v>
      </c>
      <c r="AB27" s="70">
        <f t="shared" si="1"/>
        <v>0</v>
      </c>
      <c r="AC27" s="69">
        <f t="shared" si="2"/>
        <v>0</v>
      </c>
      <c r="AD27" s="68">
        <f t="shared" si="0"/>
        <v>0</v>
      </c>
      <c r="AI27" s="25">
        <v>0.04522</v>
      </c>
      <c r="AJ27" s="25">
        <f t="shared" si="9"/>
        <v>0</v>
      </c>
      <c r="AK27" s="25">
        <f t="shared" si="9"/>
        <v>0</v>
      </c>
      <c r="AL27" s="25">
        <f t="shared" si="9"/>
        <v>0</v>
      </c>
      <c r="AM27" s="25">
        <f t="shared" si="9"/>
        <v>0</v>
      </c>
      <c r="AN27" s="25">
        <f t="shared" si="9"/>
        <v>4974.200000000001</v>
      </c>
      <c r="AO27" s="25">
        <f t="shared" si="8"/>
        <v>0</v>
      </c>
    </row>
    <row r="28" spans="2:41" ht="12.75">
      <c r="B28" s="13"/>
      <c r="C28" s="13"/>
      <c r="D28" s="13"/>
      <c r="E28" s="35" t="s">
        <v>111</v>
      </c>
      <c r="F28" s="13" t="str">
        <f>C3</f>
        <v>160 Acre Irrigation System</v>
      </c>
      <c r="G28" s="13"/>
      <c r="H28" s="13"/>
      <c r="AA28" s="25">
        <v>18</v>
      </c>
      <c r="AB28" s="70">
        <f t="shared" si="1"/>
        <v>0</v>
      </c>
      <c r="AC28" s="69">
        <f t="shared" si="2"/>
        <v>0</v>
      </c>
      <c r="AD28" s="68">
        <f t="shared" si="0"/>
        <v>0</v>
      </c>
      <c r="AI28" s="25">
        <v>0.04522</v>
      </c>
      <c r="AJ28" s="25">
        <f t="shared" si="9"/>
        <v>0</v>
      </c>
      <c r="AK28" s="25">
        <f t="shared" si="9"/>
        <v>0</v>
      </c>
      <c r="AL28" s="25">
        <f t="shared" si="9"/>
        <v>0</v>
      </c>
      <c r="AM28" s="25">
        <f t="shared" si="9"/>
        <v>0</v>
      </c>
      <c r="AN28" s="25">
        <f t="shared" si="9"/>
        <v>4974.200000000001</v>
      </c>
      <c r="AO28" s="25">
        <f t="shared" si="8"/>
        <v>0</v>
      </c>
    </row>
    <row r="29" spans="1:41" ht="12.75">
      <c r="A29" s="14" t="s">
        <v>58</v>
      </c>
      <c r="B29" s="13"/>
      <c r="C29" s="13"/>
      <c r="D29" s="13"/>
      <c r="E29" s="13"/>
      <c r="F29" s="13"/>
      <c r="G29" s="13"/>
      <c r="H29" s="13"/>
      <c r="AA29" s="25">
        <v>19</v>
      </c>
      <c r="AB29" s="70">
        <f t="shared" si="1"/>
        <v>0</v>
      </c>
      <c r="AC29" s="69">
        <f t="shared" si="2"/>
        <v>0</v>
      </c>
      <c r="AD29" s="68">
        <f t="shared" si="0"/>
        <v>0</v>
      </c>
      <c r="AI29" s="25">
        <v>0.04522</v>
      </c>
      <c r="AJ29" s="25">
        <f t="shared" si="9"/>
        <v>0</v>
      </c>
      <c r="AK29" s="25">
        <f t="shared" si="9"/>
        <v>0</v>
      </c>
      <c r="AL29" s="25">
        <f t="shared" si="9"/>
        <v>0</v>
      </c>
      <c r="AM29" s="25">
        <f t="shared" si="9"/>
        <v>0</v>
      </c>
      <c r="AN29" s="25">
        <f t="shared" si="9"/>
        <v>4974.200000000001</v>
      </c>
      <c r="AO29" s="25">
        <f t="shared" si="8"/>
        <v>0</v>
      </c>
    </row>
    <row r="30" spans="1:41" ht="12.75">
      <c r="A30" s="13">
        <f>A36+G15</f>
        <v>2024</v>
      </c>
      <c r="B30" s="13" t="s">
        <v>109</v>
      </c>
      <c r="C30" s="13"/>
      <c r="D30" s="13"/>
      <c r="G30" s="13"/>
      <c r="H30" s="14" t="s">
        <v>59</v>
      </c>
      <c r="I30" s="13"/>
      <c r="J30" s="21" t="s">
        <v>60</v>
      </c>
      <c r="L30" s="63"/>
      <c r="AA30" s="25">
        <v>20</v>
      </c>
      <c r="AB30" s="70">
        <f t="shared" si="1"/>
        <v>0</v>
      </c>
      <c r="AC30" s="69">
        <f t="shared" si="2"/>
        <v>0</v>
      </c>
      <c r="AD30" s="68">
        <f t="shared" si="0"/>
        <v>0</v>
      </c>
      <c r="AI30" s="25">
        <v>0.04522</v>
      </c>
      <c r="AJ30" s="25">
        <f t="shared" si="9"/>
        <v>0</v>
      </c>
      <c r="AK30" s="25">
        <f t="shared" si="9"/>
        <v>0</v>
      </c>
      <c r="AL30" s="25">
        <f t="shared" si="9"/>
        <v>0</v>
      </c>
      <c r="AM30" s="25">
        <f t="shared" si="9"/>
        <v>0</v>
      </c>
      <c r="AN30" s="25">
        <f t="shared" si="9"/>
        <v>4974.200000000001</v>
      </c>
      <c r="AO30" s="25">
        <f t="shared" si="8"/>
        <v>0</v>
      </c>
    </row>
    <row r="31" spans="1:41" ht="12.75">
      <c r="A31" s="14" t="s">
        <v>61</v>
      </c>
      <c r="B31" s="21" t="s">
        <v>62</v>
      </c>
      <c r="C31" s="22"/>
      <c r="D31" s="22"/>
      <c r="E31" s="63" t="s">
        <v>110</v>
      </c>
      <c r="G31" s="21" t="s">
        <v>63</v>
      </c>
      <c r="H31" s="21" t="s">
        <v>64</v>
      </c>
      <c r="I31" s="22"/>
      <c r="J31" s="21" t="s">
        <v>65</v>
      </c>
      <c r="L31" s="21"/>
      <c r="AA31" s="25">
        <v>21</v>
      </c>
      <c r="AB31" s="70">
        <f t="shared" si="1"/>
        <v>0</v>
      </c>
      <c r="AC31" s="69">
        <f t="shared" si="2"/>
        <v>0</v>
      </c>
      <c r="AD31" s="68">
        <f t="shared" si="0"/>
        <v>0</v>
      </c>
      <c r="AI31" s="25">
        <f>(0.04522/2)-0.00756</f>
        <v>0.015050000000000001</v>
      </c>
      <c r="AJ31" s="25">
        <f t="shared" si="9"/>
        <v>0</v>
      </c>
      <c r="AK31" s="25">
        <f t="shared" si="9"/>
        <v>0</v>
      </c>
      <c r="AL31" s="25">
        <f t="shared" si="9"/>
        <v>0</v>
      </c>
      <c r="AM31" s="25">
        <f t="shared" si="9"/>
        <v>0</v>
      </c>
      <c r="AN31" s="25">
        <f t="shared" si="9"/>
        <v>1655.5</v>
      </c>
      <c r="AO31" s="25">
        <f t="shared" si="8"/>
        <v>0</v>
      </c>
    </row>
    <row r="32" spans="1:41" ht="12.75">
      <c r="A32" s="13"/>
      <c r="B32" s="21" t="s">
        <v>66</v>
      </c>
      <c r="C32" s="21" t="s">
        <v>67</v>
      </c>
      <c r="D32" s="21" t="s">
        <v>68</v>
      </c>
      <c r="E32" s="21" t="s">
        <v>113</v>
      </c>
      <c r="F32" s="63" t="s">
        <v>118</v>
      </c>
      <c r="G32" s="21" t="s">
        <v>69</v>
      </c>
      <c r="H32" s="21" t="s">
        <v>70</v>
      </c>
      <c r="I32" s="21" t="s">
        <v>71</v>
      </c>
      <c r="J32" s="21" t="s">
        <v>72</v>
      </c>
      <c r="L32" s="21"/>
      <c r="AA32" s="25">
        <v>22</v>
      </c>
      <c r="AB32" s="70">
        <f t="shared" si="1"/>
        <v>0</v>
      </c>
      <c r="AC32" s="69">
        <f t="shared" si="2"/>
        <v>0</v>
      </c>
      <c r="AD32" s="68">
        <f t="shared" si="0"/>
        <v>0</v>
      </c>
      <c r="AE32" s="25">
        <f>SUM(AE11:AE31)</f>
        <v>1</v>
      </c>
      <c r="AF32" s="25">
        <f>SUM(AF11:AF31)</f>
        <v>0.9999999999999999</v>
      </c>
      <c r="AG32" s="25">
        <f>SUM(AG11:AG31)</f>
        <v>1</v>
      </c>
      <c r="AH32" s="25">
        <f>SUM(AH11:AH31)</f>
        <v>1.0000000000000002</v>
      </c>
      <c r="AI32" s="25">
        <f>SUM(AI11:AI31)</f>
        <v>1.0000000000000002</v>
      </c>
      <c r="AO32" s="25">
        <f t="shared" si="8"/>
        <v>0</v>
      </c>
    </row>
    <row r="33" spans="1:41" ht="12.75">
      <c r="A33" s="35" t="s">
        <v>73</v>
      </c>
      <c r="B33" s="21" t="s">
        <v>36</v>
      </c>
      <c r="C33" s="21" t="s">
        <v>36</v>
      </c>
      <c r="D33" s="21" t="s">
        <v>74</v>
      </c>
      <c r="E33" s="21" t="s">
        <v>112</v>
      </c>
      <c r="F33" s="21" t="s">
        <v>31</v>
      </c>
      <c r="G33" s="21" t="s">
        <v>75</v>
      </c>
      <c r="H33" s="21" t="s">
        <v>69</v>
      </c>
      <c r="I33" s="21" t="s">
        <v>69</v>
      </c>
      <c r="J33" s="21" t="s">
        <v>99</v>
      </c>
      <c r="AA33" s="25">
        <v>23</v>
      </c>
      <c r="AB33" s="70">
        <f t="shared" si="1"/>
        <v>0</v>
      </c>
      <c r="AC33" s="69">
        <f t="shared" si="2"/>
        <v>0</v>
      </c>
      <c r="AD33" s="68">
        <f t="shared" si="0"/>
        <v>0</v>
      </c>
      <c r="AO33" s="25">
        <f t="shared" si="8"/>
        <v>0</v>
      </c>
    </row>
    <row r="34" spans="1:41" ht="12.75">
      <c r="A34" s="60" t="s">
        <v>76</v>
      </c>
      <c r="B34" s="60" t="s">
        <v>76</v>
      </c>
      <c r="C34" s="60" t="s">
        <v>76</v>
      </c>
      <c r="D34" s="60" t="s">
        <v>76</v>
      </c>
      <c r="E34" s="60" t="s">
        <v>76</v>
      </c>
      <c r="F34" s="60" t="s">
        <v>76</v>
      </c>
      <c r="G34" s="60" t="s">
        <v>76</v>
      </c>
      <c r="H34" s="60" t="s">
        <v>76</v>
      </c>
      <c r="I34" s="60" t="s">
        <v>76</v>
      </c>
      <c r="J34" s="60" t="s">
        <v>76</v>
      </c>
      <c r="AA34" s="25">
        <v>24</v>
      </c>
      <c r="AB34" s="70">
        <f t="shared" si="1"/>
        <v>0</v>
      </c>
      <c r="AC34" s="69">
        <f t="shared" si="2"/>
        <v>0</v>
      </c>
      <c r="AD34" s="68">
        <f t="shared" si="0"/>
        <v>0</v>
      </c>
      <c r="AO34" s="25">
        <f t="shared" si="8"/>
        <v>0</v>
      </c>
    </row>
    <row r="35" spans="1:41" ht="12.75">
      <c r="A35" s="72" t="s">
        <v>132</v>
      </c>
      <c r="B35" s="73">
        <f>+G10-G12</f>
        <v>60000</v>
      </c>
      <c r="C35" s="60"/>
      <c r="D35" s="60"/>
      <c r="E35" s="60"/>
      <c r="F35" s="60"/>
      <c r="G35" s="38">
        <f>(C35+D35-E35-F35)*$G$17</f>
        <v>0</v>
      </c>
      <c r="H35" s="38">
        <f>B35+C35-E35-F35</f>
        <v>60000</v>
      </c>
      <c r="I35" s="38">
        <f aca="true" t="shared" si="10" ref="I35:I61">H35-G35</f>
        <v>60000</v>
      </c>
      <c r="J35" s="38">
        <f>I35</f>
        <v>60000</v>
      </c>
      <c r="L35" s="59"/>
      <c r="AA35" s="25">
        <v>25</v>
      </c>
      <c r="AB35" s="70">
        <f t="shared" si="1"/>
        <v>0</v>
      </c>
      <c r="AC35" s="69">
        <f t="shared" si="2"/>
        <v>0</v>
      </c>
      <c r="AD35" s="68">
        <f t="shared" si="0"/>
        <v>0</v>
      </c>
      <c r="AO35" s="25">
        <f t="shared" si="8"/>
        <v>0</v>
      </c>
    </row>
    <row r="36" spans="1:41" ht="12.75">
      <c r="A36" s="37">
        <f>G9</f>
        <v>2004</v>
      </c>
      <c r="B36" s="38">
        <f aca="true" t="shared" si="11" ref="B36:B61">AC11</f>
        <v>11733.136931088844</v>
      </c>
      <c r="C36" s="38">
        <f aca="true" t="shared" si="12" ref="C36:C61">AD11</f>
        <v>6500</v>
      </c>
      <c r="D36" s="38">
        <f aca="true" t="shared" si="13" ref="D36:D61">IF($G$20=2,AO11,IF($G$18=3,AJ11,IF($G$18=5,AK11,IF($G$18=7,AL11,IF($G$18=10,AM11,IF($G$18=20,AN11,0))))))</f>
        <v>61781</v>
      </c>
      <c r="E36" s="59">
        <f>IF(A36&lt;$A$30,Assmptns!$H$122,0)</f>
        <v>21647.889999999996</v>
      </c>
      <c r="F36" s="59">
        <f>IF(A36=$A$30-1,Assmptns!$H$9,0)</f>
        <v>0</v>
      </c>
      <c r="G36" s="38">
        <f>(C36+D36-E36-F36)*$G$17</f>
        <v>11658.2775</v>
      </c>
      <c r="H36" s="38">
        <f>B36+C36-E36-F36</f>
        <v>-3414.753068911152</v>
      </c>
      <c r="I36" s="38">
        <f t="shared" si="10"/>
        <v>-15073.030568911152</v>
      </c>
      <c r="J36" s="38">
        <f aca="true" t="shared" si="14" ref="J36:J47">I36/((1+$G$23)^AA11)</f>
        <v>-14021.42378503363</v>
      </c>
      <c r="L36" s="59"/>
      <c r="AA36" s="25">
        <v>26</v>
      </c>
      <c r="AB36" s="70">
        <f t="shared" si="1"/>
        <v>0</v>
      </c>
      <c r="AC36" s="69">
        <f t="shared" si="2"/>
        <v>0</v>
      </c>
      <c r="AD36" s="68">
        <f t="shared" si="0"/>
        <v>0</v>
      </c>
      <c r="AO36" s="25">
        <f t="shared" si="8"/>
        <v>0</v>
      </c>
    </row>
    <row r="37" spans="1:30" ht="12.75">
      <c r="A37" s="37">
        <f aca="true" t="shared" si="15" ref="A37:A61">A36+1</f>
        <v>2005</v>
      </c>
      <c r="B37" s="38">
        <f t="shared" si="11"/>
        <v>12495.790831609618</v>
      </c>
      <c r="C37" s="38">
        <f t="shared" si="12"/>
        <v>5737.346099479226</v>
      </c>
      <c r="D37" s="38">
        <f t="shared" si="13"/>
        <v>21043</v>
      </c>
      <c r="E37" s="59">
        <f>IF(A37&lt;$A$30,Assmptns!$H$122,0)</f>
        <v>21647.889999999996</v>
      </c>
      <c r="F37" s="59">
        <f>IF(A37=$A$30-1,Assmptns!$H$9,0)</f>
        <v>0</v>
      </c>
      <c r="G37" s="38">
        <f aca="true" t="shared" si="16" ref="G37:G61">(C37+D37-E37-F37)*$G$17</f>
        <v>1283.1140248698075</v>
      </c>
      <c r="H37" s="38">
        <f aca="true" t="shared" si="17" ref="H37:H61">B37+C37-E37-F37</f>
        <v>-3414.753068911152</v>
      </c>
      <c r="I37" s="38">
        <f t="shared" si="10"/>
        <v>-4697.867093780959</v>
      </c>
      <c r="J37" s="38">
        <f t="shared" si="14"/>
        <v>-4065.2176041371204</v>
      </c>
      <c r="L37" s="59"/>
      <c r="AC37" s="71">
        <f>SUM(AC11:AC36)</f>
        <v>100000</v>
      </c>
      <c r="AD37" s="59">
        <f>SUM(AD11:AD36)</f>
        <v>27631.95851762177</v>
      </c>
    </row>
    <row r="38" spans="1:12" ht="12.75">
      <c r="A38" s="37">
        <f t="shared" si="15"/>
        <v>2006</v>
      </c>
      <c r="B38" s="38">
        <f t="shared" si="11"/>
        <v>13308.017235664243</v>
      </c>
      <c r="C38" s="38">
        <f t="shared" si="12"/>
        <v>4925.119695424601</v>
      </c>
      <c r="D38" s="38">
        <f t="shared" si="13"/>
        <v>16533</v>
      </c>
      <c r="E38" s="59">
        <f>IF(A38&lt;$A$30,Assmptns!$H$122,0)</f>
        <v>21647.889999999996</v>
      </c>
      <c r="F38" s="59">
        <f>IF(A38=$A$30-1,Assmptns!$H$9,0)</f>
        <v>0</v>
      </c>
      <c r="G38" s="38">
        <f t="shared" si="16"/>
        <v>-47.44257614384878</v>
      </c>
      <c r="H38" s="38">
        <f t="shared" si="17"/>
        <v>-3414.753068911152</v>
      </c>
      <c r="I38" s="38">
        <f t="shared" si="10"/>
        <v>-3367.310492767303</v>
      </c>
      <c r="J38" s="38">
        <f t="shared" si="14"/>
        <v>-2710.5521719736303</v>
      </c>
      <c r="L38" s="59"/>
    </row>
    <row r="39" spans="1:36" ht="12.75">
      <c r="A39" s="37">
        <f t="shared" si="15"/>
        <v>2007</v>
      </c>
      <c r="B39" s="38">
        <f t="shared" si="11"/>
        <v>14173.038355982419</v>
      </c>
      <c r="C39" s="38">
        <f t="shared" si="12"/>
        <v>4060.098575106425</v>
      </c>
      <c r="D39" s="38">
        <f t="shared" si="13"/>
        <v>13475</v>
      </c>
      <c r="E39" s="59">
        <f>IF(A39&lt;$A$30,Assmptns!$H$122,0)</f>
        <v>21647.889999999996</v>
      </c>
      <c r="F39" s="59">
        <f>IF(A39=$A$30-1,Assmptns!$H$9,0)</f>
        <v>0</v>
      </c>
      <c r="G39" s="38">
        <f t="shared" si="16"/>
        <v>-1028.1978562233926</v>
      </c>
      <c r="H39" s="38">
        <f t="shared" si="17"/>
        <v>-3414.753068911152</v>
      </c>
      <c r="I39" s="38">
        <f t="shared" si="10"/>
        <v>-2386.555212687759</v>
      </c>
      <c r="J39" s="38">
        <f t="shared" si="14"/>
        <v>-1787.053807601163</v>
      </c>
      <c r="L39" s="59"/>
      <c r="AA39" s="23"/>
      <c r="AE39" s="23"/>
      <c r="AJ39" s="23"/>
    </row>
    <row r="40" spans="1:36" ht="12.75">
      <c r="A40" s="37">
        <f t="shared" si="15"/>
        <v>2008</v>
      </c>
      <c r="B40" s="38">
        <f t="shared" si="11"/>
        <v>15094.285849121276</v>
      </c>
      <c r="C40" s="38">
        <f t="shared" si="12"/>
        <v>3138.8510819675676</v>
      </c>
      <c r="D40" s="38">
        <f t="shared" si="13"/>
        <v>13475</v>
      </c>
      <c r="E40" s="59">
        <f>IF(A40&lt;$A$30,Assmptns!$H$122,0)</f>
        <v>21647.889999999996</v>
      </c>
      <c r="F40" s="59">
        <f>IF(A40=$A$30-1,Assmptns!$H$9,0)</f>
        <v>0</v>
      </c>
      <c r="G40" s="38">
        <f t="shared" si="16"/>
        <v>-1258.5097295081068</v>
      </c>
      <c r="H40" s="38">
        <f t="shared" si="17"/>
        <v>-3414.753068911152</v>
      </c>
      <c r="I40" s="38">
        <f t="shared" si="10"/>
        <v>-2156.243339403045</v>
      </c>
      <c r="J40" s="38">
        <f t="shared" si="14"/>
        <v>-1501.9499115086323</v>
      </c>
      <c r="L40" s="59"/>
      <c r="AA40" s="23"/>
      <c r="AB40" s="25"/>
      <c r="AE40" s="23"/>
      <c r="AJ40" s="23"/>
    </row>
    <row r="41" spans="1:12" ht="12.75">
      <c r="A41" s="37">
        <f t="shared" si="15"/>
        <v>2009</v>
      </c>
      <c r="B41" s="38">
        <f t="shared" si="11"/>
        <v>16075.41442931416</v>
      </c>
      <c r="C41" s="38">
        <f t="shared" si="12"/>
        <v>2157.7225017746846</v>
      </c>
      <c r="D41" s="38">
        <f t="shared" si="13"/>
        <v>13805</v>
      </c>
      <c r="E41" s="59">
        <f>IF(A41&lt;$A$30,Assmptns!$H$122,0)</f>
        <v>21647.889999999996</v>
      </c>
      <c r="F41" s="59">
        <f>IF(A41=$A$30-1,Assmptns!$H$9,0)</f>
        <v>0</v>
      </c>
      <c r="G41" s="38">
        <f t="shared" si="16"/>
        <v>-1421.291874556328</v>
      </c>
      <c r="H41" s="38">
        <f t="shared" si="17"/>
        <v>-3414.753068911152</v>
      </c>
      <c r="I41" s="38">
        <f t="shared" si="10"/>
        <v>-1993.4611943548239</v>
      </c>
      <c r="J41" s="38">
        <f t="shared" si="14"/>
        <v>-1291.6861424956514</v>
      </c>
      <c r="L41" s="59"/>
    </row>
    <row r="42" spans="1:12" ht="12.75">
      <c r="A42" s="37">
        <f t="shared" si="15"/>
        <v>2010</v>
      </c>
      <c r="B42" s="38">
        <f t="shared" si="11"/>
        <v>17120.31636721945</v>
      </c>
      <c r="C42" s="38">
        <f t="shared" si="12"/>
        <v>1112.8205638692643</v>
      </c>
      <c r="D42" s="38">
        <f t="shared" si="13"/>
        <v>13475</v>
      </c>
      <c r="E42" s="59">
        <f>IF(A42&lt;$A$30,Assmptns!$H$122,0)</f>
        <v>21647.889999999996</v>
      </c>
      <c r="F42" s="59">
        <f>IF(A42=$A$30-1,Assmptns!$H$9,0)</f>
        <v>0</v>
      </c>
      <c r="G42" s="38">
        <f t="shared" si="16"/>
        <v>-1765.017359032683</v>
      </c>
      <c r="H42" s="38">
        <f t="shared" si="17"/>
        <v>-3414.7530689112828</v>
      </c>
      <c r="I42" s="38">
        <f t="shared" si="10"/>
        <v>-1649.7357098785997</v>
      </c>
      <c r="J42" s="38">
        <f t="shared" si="14"/>
        <v>-994.3862843155742</v>
      </c>
      <c r="L42" s="59"/>
    </row>
    <row r="43" spans="1:12" ht="12.75">
      <c r="A43" s="37">
        <f t="shared" si="15"/>
        <v>2011</v>
      </c>
      <c r="B43" s="38">
        <f t="shared" si="11"/>
        <v>0</v>
      </c>
      <c r="C43" s="38">
        <f t="shared" si="12"/>
        <v>0</v>
      </c>
      <c r="D43" s="38">
        <f t="shared" si="13"/>
        <v>6413</v>
      </c>
      <c r="E43" s="59">
        <f>IF(A43&lt;$A$30,Assmptns!$H$122,0)</f>
        <v>21647.889999999996</v>
      </c>
      <c r="F43" s="59">
        <f>IF(A43=$A$30-1,Assmptns!$H$9,0)</f>
        <v>0</v>
      </c>
      <c r="G43" s="38">
        <f t="shared" si="16"/>
        <v>-3808.722499999999</v>
      </c>
      <c r="H43" s="38">
        <f t="shared" si="17"/>
        <v>-21647.889999999996</v>
      </c>
      <c r="I43" s="38">
        <f t="shared" si="10"/>
        <v>-17839.167499999996</v>
      </c>
      <c r="J43" s="38">
        <f t="shared" si="14"/>
        <v>-10002.461059128591</v>
      </c>
      <c r="L43" s="59"/>
    </row>
    <row r="44" spans="1:41" ht="12.75">
      <c r="A44" s="37">
        <f t="shared" si="15"/>
        <v>2012</v>
      </c>
      <c r="B44" s="38">
        <f t="shared" si="11"/>
        <v>0</v>
      </c>
      <c r="C44" s="38">
        <f t="shared" si="12"/>
        <v>0</v>
      </c>
      <c r="D44" s="38">
        <f t="shared" si="13"/>
        <v>0</v>
      </c>
      <c r="E44" s="59">
        <f>IF(A44&lt;$A$30,Assmptns!$H$122,0)</f>
        <v>21647.889999999996</v>
      </c>
      <c r="F44" s="59">
        <f>IF(A44=$A$30-1,Assmptns!$H$9,0)</f>
        <v>0</v>
      </c>
      <c r="G44" s="38">
        <f t="shared" si="16"/>
        <v>-5411.972499999999</v>
      </c>
      <c r="H44" s="38">
        <f t="shared" si="17"/>
        <v>-21647.889999999996</v>
      </c>
      <c r="I44" s="38">
        <f t="shared" si="10"/>
        <v>-16235.917499999996</v>
      </c>
      <c r="J44" s="38">
        <f t="shared" si="14"/>
        <v>-8468.38623575875</v>
      </c>
      <c r="L44" s="59"/>
      <c r="AA44" s="23"/>
      <c r="AB44" s="23"/>
      <c r="AC44" s="27"/>
      <c r="AD44" s="23"/>
      <c r="AE44" s="28"/>
      <c r="AF44" s="28"/>
      <c r="AG44" s="28"/>
      <c r="AH44" s="28"/>
      <c r="AI44" s="23"/>
      <c r="AJ44" s="28"/>
      <c r="AK44" s="28"/>
      <c r="AL44" s="28"/>
      <c r="AM44" s="28"/>
      <c r="AN44" s="23"/>
      <c r="AO44" s="23"/>
    </row>
    <row r="45" spans="1:41" ht="12.75">
      <c r="A45" s="37">
        <f t="shared" si="15"/>
        <v>2013</v>
      </c>
      <c r="B45" s="38">
        <f t="shared" si="11"/>
        <v>0</v>
      </c>
      <c r="C45" s="38">
        <f t="shared" si="12"/>
        <v>0</v>
      </c>
      <c r="D45" s="38">
        <f t="shared" si="13"/>
        <v>0</v>
      </c>
      <c r="E45" s="59">
        <f>IF(A45&lt;$A$30,Assmptns!$H$122,0)</f>
        <v>21647.889999999996</v>
      </c>
      <c r="F45" s="59">
        <f>IF(A45=$A$30-1,Assmptns!$H$9,0)</f>
        <v>0</v>
      </c>
      <c r="G45" s="38">
        <f t="shared" si="16"/>
        <v>-5411.972499999999</v>
      </c>
      <c r="H45" s="38">
        <f t="shared" si="17"/>
        <v>-21647.889999999996</v>
      </c>
      <c r="I45" s="38">
        <f t="shared" si="10"/>
        <v>-16235.917499999996</v>
      </c>
      <c r="J45" s="38">
        <f t="shared" si="14"/>
        <v>-7877.568591403489</v>
      </c>
      <c r="L45" s="59"/>
      <c r="AA45" s="25"/>
      <c r="AB45" s="25"/>
      <c r="AC45" s="25"/>
      <c r="AD45" s="25"/>
      <c r="AE45" s="25"/>
      <c r="AF45" s="25"/>
      <c r="AG45" s="25"/>
      <c r="AH45" s="25"/>
      <c r="AI45" s="25"/>
      <c r="AJ45" s="34"/>
      <c r="AK45" s="34"/>
      <c r="AL45" s="34"/>
      <c r="AM45" s="34"/>
      <c r="AN45" s="34"/>
      <c r="AO45" s="34"/>
    </row>
    <row r="46" spans="1:41" ht="12.75">
      <c r="A46" s="37">
        <f t="shared" si="15"/>
        <v>2014</v>
      </c>
      <c r="B46" s="38">
        <f t="shared" si="11"/>
        <v>0</v>
      </c>
      <c r="C46" s="38">
        <f t="shared" si="12"/>
        <v>0</v>
      </c>
      <c r="D46" s="38">
        <f t="shared" si="13"/>
        <v>0</v>
      </c>
      <c r="E46" s="59">
        <f>IF(A46&lt;$A$30,Assmptns!$H$122,0)</f>
        <v>21647.889999999996</v>
      </c>
      <c r="F46" s="59">
        <f>IF(A46=$A$30-1,Assmptns!$H$9,0)</f>
        <v>0</v>
      </c>
      <c r="G46" s="38">
        <f t="shared" si="16"/>
        <v>-5411.972499999999</v>
      </c>
      <c r="H46" s="38">
        <f t="shared" si="17"/>
        <v>-21647.889999999996</v>
      </c>
      <c r="I46" s="38">
        <f t="shared" si="10"/>
        <v>-16235.917499999996</v>
      </c>
      <c r="J46" s="38">
        <f t="shared" si="14"/>
        <v>-7327.97078270092</v>
      </c>
      <c r="L46" s="59"/>
      <c r="AA46" s="25"/>
      <c r="AB46" s="25"/>
      <c r="AC46" s="25"/>
      <c r="AD46" s="25"/>
      <c r="AE46" s="25"/>
      <c r="AF46" s="25"/>
      <c r="AG46" s="25"/>
      <c r="AH46" s="25"/>
      <c r="AI46" s="25"/>
      <c r="AJ46" s="34"/>
      <c r="AK46" s="34"/>
      <c r="AL46" s="34"/>
      <c r="AM46" s="34"/>
      <c r="AN46" s="34"/>
      <c r="AO46" s="34"/>
    </row>
    <row r="47" spans="1:41" ht="12.75">
      <c r="A47" s="37">
        <f t="shared" si="15"/>
        <v>2015</v>
      </c>
      <c r="B47" s="38">
        <f t="shared" si="11"/>
        <v>0</v>
      </c>
      <c r="C47" s="38">
        <f t="shared" si="12"/>
        <v>0</v>
      </c>
      <c r="D47" s="38">
        <f t="shared" si="13"/>
        <v>0</v>
      </c>
      <c r="E47" s="59">
        <f>IF(A47&lt;$A$30,Assmptns!$H$122,0)</f>
        <v>21647.889999999996</v>
      </c>
      <c r="F47" s="59">
        <f>IF(A47=$A$30-1,Assmptns!$H$9,0)</f>
        <v>0</v>
      </c>
      <c r="G47" s="38">
        <f t="shared" si="16"/>
        <v>-5411.972499999999</v>
      </c>
      <c r="H47" s="38">
        <f t="shared" si="17"/>
        <v>-21647.889999999996</v>
      </c>
      <c r="I47" s="38">
        <f t="shared" si="10"/>
        <v>-16235.917499999996</v>
      </c>
      <c r="J47" s="38">
        <f t="shared" si="14"/>
        <v>-6816.7170071636465</v>
      </c>
      <c r="L47" s="59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</row>
    <row r="48" spans="1:41" ht="12.75">
      <c r="A48" s="37">
        <f t="shared" si="15"/>
        <v>2016</v>
      </c>
      <c r="B48" s="38">
        <f t="shared" si="11"/>
        <v>0</v>
      </c>
      <c r="C48" s="38">
        <f t="shared" si="12"/>
        <v>0</v>
      </c>
      <c r="D48" s="38">
        <f t="shared" si="13"/>
        <v>0</v>
      </c>
      <c r="E48" s="59">
        <f>IF(A48&lt;$A$30,Assmptns!$H$122,0)</f>
        <v>21647.889999999996</v>
      </c>
      <c r="F48" s="59">
        <f>IF(A48=$A$30-1,Assmptns!$H$9,0)</f>
        <v>0</v>
      </c>
      <c r="G48" s="38">
        <f t="shared" si="16"/>
        <v>-5411.972499999999</v>
      </c>
      <c r="H48" s="38">
        <f t="shared" si="17"/>
        <v>-21647.889999999996</v>
      </c>
      <c r="I48" s="38">
        <f t="shared" si="10"/>
        <v>-16235.917499999996</v>
      </c>
      <c r="J48" s="38">
        <f aca="true" t="shared" si="18" ref="J48:J61">I48/((1+$G$23)^AA23)</f>
        <v>-6341.132099687113</v>
      </c>
      <c r="L48" s="59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</row>
    <row r="49" spans="1:41" ht="12.75">
      <c r="A49" s="37">
        <f t="shared" si="15"/>
        <v>2017</v>
      </c>
      <c r="B49" s="38">
        <f t="shared" si="11"/>
        <v>0</v>
      </c>
      <c r="C49" s="38">
        <f t="shared" si="12"/>
        <v>0</v>
      </c>
      <c r="D49" s="38">
        <f t="shared" si="13"/>
        <v>0</v>
      </c>
      <c r="E49" s="59">
        <f>IF(A49&lt;$A$30,Assmptns!$H$122,0)</f>
        <v>21647.889999999996</v>
      </c>
      <c r="F49" s="59">
        <f>IF(A49=$A$30-1,Assmptns!$H$9,0)</f>
        <v>0</v>
      </c>
      <c r="G49" s="38">
        <f t="shared" si="16"/>
        <v>-5411.972499999999</v>
      </c>
      <c r="H49" s="38">
        <f t="shared" si="17"/>
        <v>-21647.889999999996</v>
      </c>
      <c r="I49" s="38">
        <f t="shared" si="10"/>
        <v>-16235.917499999996</v>
      </c>
      <c r="J49" s="38">
        <f t="shared" si="18"/>
        <v>-5898.727534592663</v>
      </c>
      <c r="L49" s="59"/>
      <c r="AA49" s="25"/>
      <c r="AB49" s="25"/>
      <c r="AC49" s="25"/>
      <c r="AD49" s="25"/>
      <c r="AF49" s="25"/>
      <c r="AG49" s="25"/>
      <c r="AH49" s="25"/>
      <c r="AI49" s="25"/>
      <c r="AJ49" s="34"/>
      <c r="AK49" s="34"/>
      <c r="AL49" s="34"/>
      <c r="AM49" s="34"/>
      <c r="AN49" s="34"/>
      <c r="AO49" s="34"/>
    </row>
    <row r="50" spans="1:41" ht="12.75">
      <c r="A50" s="37">
        <f t="shared" si="15"/>
        <v>2018</v>
      </c>
      <c r="B50" s="38">
        <f t="shared" si="11"/>
        <v>0</v>
      </c>
      <c r="C50" s="38">
        <f t="shared" si="12"/>
        <v>0</v>
      </c>
      <c r="D50" s="38">
        <f t="shared" si="13"/>
        <v>0</v>
      </c>
      <c r="E50" s="59">
        <f>IF(A50&lt;$A$30,Assmptns!$H$122,0)</f>
        <v>21647.889999999996</v>
      </c>
      <c r="F50" s="59">
        <f>IF(A50=$A$30-1,Assmptns!$H$9,0)</f>
        <v>0</v>
      </c>
      <c r="G50" s="38">
        <f t="shared" si="16"/>
        <v>-5411.972499999999</v>
      </c>
      <c r="H50" s="38">
        <f t="shared" si="17"/>
        <v>-21647.889999999996</v>
      </c>
      <c r="I50" s="38">
        <f t="shared" si="10"/>
        <v>-16235.917499999996</v>
      </c>
      <c r="J50" s="38">
        <f t="shared" si="18"/>
        <v>-5487.188404272245</v>
      </c>
      <c r="L50" s="59"/>
      <c r="AA50" s="25"/>
      <c r="AB50" s="25"/>
      <c r="AC50" s="25"/>
      <c r="AD50" s="25"/>
      <c r="AF50" s="25"/>
      <c r="AG50" s="25"/>
      <c r="AH50" s="25"/>
      <c r="AI50" s="25"/>
      <c r="AJ50" s="34"/>
      <c r="AK50" s="34"/>
      <c r="AL50" s="34"/>
      <c r="AM50" s="34"/>
      <c r="AN50" s="34"/>
      <c r="AO50" s="34"/>
    </row>
    <row r="51" spans="1:41" ht="12.75">
      <c r="A51" s="37">
        <f t="shared" si="15"/>
        <v>2019</v>
      </c>
      <c r="B51" s="38">
        <f t="shared" si="11"/>
        <v>0</v>
      </c>
      <c r="C51" s="38">
        <f t="shared" si="12"/>
        <v>0</v>
      </c>
      <c r="D51" s="38">
        <f t="shared" si="13"/>
        <v>0</v>
      </c>
      <c r="E51" s="59">
        <f>IF(A51&lt;$A$30,Assmptns!$H$122,0)</f>
        <v>21647.889999999996</v>
      </c>
      <c r="F51" s="59">
        <f>IF(A51=$A$30-1,Assmptns!$H$9,0)</f>
        <v>0</v>
      </c>
      <c r="G51" s="38">
        <f t="shared" si="16"/>
        <v>-5411.972499999999</v>
      </c>
      <c r="H51" s="38">
        <f t="shared" si="17"/>
        <v>-21647.889999999996</v>
      </c>
      <c r="I51" s="38">
        <f t="shared" si="10"/>
        <v>-16235.917499999996</v>
      </c>
      <c r="J51" s="38">
        <f t="shared" si="18"/>
        <v>-5104.361306299763</v>
      </c>
      <c r="L51" s="59"/>
      <c r="AA51" s="25"/>
      <c r="AB51" s="25"/>
      <c r="AC51" s="25"/>
      <c r="AD51" s="25"/>
      <c r="AG51" s="25"/>
      <c r="AH51" s="25"/>
      <c r="AI51" s="25"/>
      <c r="AJ51" s="34"/>
      <c r="AK51" s="34"/>
      <c r="AL51" s="34"/>
      <c r="AM51" s="34"/>
      <c r="AN51" s="34"/>
      <c r="AO51" s="34"/>
    </row>
    <row r="52" spans="1:41" ht="12.75">
      <c r="A52" s="37">
        <f t="shared" si="15"/>
        <v>2020</v>
      </c>
      <c r="B52" s="38">
        <f t="shared" si="11"/>
        <v>0</v>
      </c>
      <c r="C52" s="38">
        <f t="shared" si="12"/>
        <v>0</v>
      </c>
      <c r="D52" s="38">
        <f t="shared" si="13"/>
        <v>0</v>
      </c>
      <c r="E52" s="59">
        <f>IF(A52&lt;$A$30,Assmptns!$H$122,0)</f>
        <v>21647.889999999996</v>
      </c>
      <c r="F52" s="59">
        <f>IF(A52=$A$30-1,Assmptns!$H$9,0)</f>
        <v>0</v>
      </c>
      <c r="G52" s="38">
        <f t="shared" si="16"/>
        <v>-5411.972499999999</v>
      </c>
      <c r="H52" s="38">
        <f t="shared" si="17"/>
        <v>-21647.889999999996</v>
      </c>
      <c r="I52" s="38">
        <f t="shared" si="10"/>
        <v>-16235.917499999996</v>
      </c>
      <c r="J52" s="38">
        <f t="shared" si="18"/>
        <v>-4748.243075627687</v>
      </c>
      <c r="L52" s="59"/>
      <c r="AA52" s="25"/>
      <c r="AB52" s="25"/>
      <c r="AC52" s="25"/>
      <c r="AD52" s="25"/>
      <c r="AG52" s="25"/>
      <c r="AH52" s="25"/>
      <c r="AI52" s="25"/>
      <c r="AJ52" s="34"/>
      <c r="AK52" s="34"/>
      <c r="AL52" s="34"/>
      <c r="AM52" s="34"/>
      <c r="AN52" s="34"/>
      <c r="AO52" s="34"/>
    </row>
    <row r="53" spans="1:41" ht="12.75">
      <c r="A53" s="37">
        <f t="shared" si="15"/>
        <v>2021</v>
      </c>
      <c r="B53" s="38">
        <f t="shared" si="11"/>
        <v>0</v>
      </c>
      <c r="C53" s="38">
        <f t="shared" si="12"/>
        <v>0</v>
      </c>
      <c r="D53" s="38">
        <f t="shared" si="13"/>
        <v>0</v>
      </c>
      <c r="E53" s="59">
        <f>IF(A53&lt;$A$30,Assmptns!$H$122,0)</f>
        <v>21647.889999999996</v>
      </c>
      <c r="F53" s="59">
        <f>IF(A53=$A$30-1,Assmptns!$H$9,0)</f>
        <v>0</v>
      </c>
      <c r="G53" s="38">
        <f t="shared" si="16"/>
        <v>-5411.972499999999</v>
      </c>
      <c r="H53" s="38">
        <f t="shared" si="17"/>
        <v>-21647.889999999996</v>
      </c>
      <c r="I53" s="38">
        <f t="shared" si="10"/>
        <v>-16235.917499999996</v>
      </c>
      <c r="J53" s="38">
        <f t="shared" si="18"/>
        <v>-4416.970302909476</v>
      </c>
      <c r="L53" s="59"/>
      <c r="AA53" s="25"/>
      <c r="AB53" s="25"/>
      <c r="AC53" s="25"/>
      <c r="AD53" s="25"/>
      <c r="AH53" s="25"/>
      <c r="AI53" s="25"/>
      <c r="AJ53" s="34"/>
      <c r="AK53" s="34"/>
      <c r="AL53" s="34"/>
      <c r="AM53" s="34"/>
      <c r="AN53" s="34"/>
      <c r="AO53" s="34"/>
    </row>
    <row r="54" spans="1:41" ht="12.75">
      <c r="A54" s="37">
        <f t="shared" si="15"/>
        <v>2022</v>
      </c>
      <c r="B54" s="38">
        <f t="shared" si="11"/>
        <v>0</v>
      </c>
      <c r="C54" s="38">
        <f t="shared" si="12"/>
        <v>0</v>
      </c>
      <c r="D54" s="38">
        <f t="shared" si="13"/>
        <v>0</v>
      </c>
      <c r="E54" s="59">
        <f>IF(A54&lt;$A$30,Assmptns!$H$122,0)</f>
        <v>21647.889999999996</v>
      </c>
      <c r="F54" s="59">
        <f>IF(A54=$A$30-1,Assmptns!$H$9,0)</f>
        <v>0</v>
      </c>
      <c r="G54" s="38">
        <f t="shared" si="16"/>
        <v>-5411.972499999999</v>
      </c>
      <c r="H54" s="38">
        <f t="shared" si="17"/>
        <v>-21647.889999999996</v>
      </c>
      <c r="I54" s="38">
        <f t="shared" si="10"/>
        <v>-16235.917499999996</v>
      </c>
      <c r="J54" s="38">
        <f t="shared" si="18"/>
        <v>-4108.8095841018385</v>
      </c>
      <c r="L54" s="59"/>
      <c r="AA54" s="25"/>
      <c r="AB54" s="25"/>
      <c r="AC54" s="25"/>
      <c r="AD54" s="25"/>
      <c r="AH54" s="25"/>
      <c r="AI54" s="25"/>
      <c r="AJ54" s="34"/>
      <c r="AK54" s="34"/>
      <c r="AL54" s="34"/>
      <c r="AM54" s="34"/>
      <c r="AN54" s="34"/>
      <c r="AO54" s="34"/>
    </row>
    <row r="55" spans="1:41" ht="12.75">
      <c r="A55" s="37">
        <f t="shared" si="15"/>
        <v>2023</v>
      </c>
      <c r="B55" s="38">
        <f t="shared" si="11"/>
        <v>0</v>
      </c>
      <c r="C55" s="38">
        <f t="shared" si="12"/>
        <v>0</v>
      </c>
      <c r="D55" s="38">
        <f t="shared" si="13"/>
        <v>0</v>
      </c>
      <c r="E55" s="59">
        <f>IF(A55&lt;$A$30,Assmptns!$H$122,0)</f>
        <v>21647.889999999996</v>
      </c>
      <c r="F55" s="59">
        <f>IF(A55=$A$30-1,Assmptns!$H$9,0)</f>
        <v>30000</v>
      </c>
      <c r="G55" s="38">
        <f t="shared" si="16"/>
        <v>-12911.9725</v>
      </c>
      <c r="H55" s="38">
        <f t="shared" si="17"/>
        <v>-51647.89</v>
      </c>
      <c r="I55" s="38">
        <f t="shared" si="10"/>
        <v>-38735.917499999996</v>
      </c>
      <c r="J55" s="38">
        <f t="shared" si="18"/>
        <v>-9118.94428169094</v>
      </c>
      <c r="L55" s="59"/>
      <c r="AA55" s="25"/>
      <c r="AB55" s="25"/>
      <c r="AC55" s="25"/>
      <c r="AD55" s="25"/>
      <c r="AH55" s="25"/>
      <c r="AI55" s="25"/>
      <c r="AJ55" s="34"/>
      <c r="AK55" s="34"/>
      <c r="AL55" s="34"/>
      <c r="AM55" s="34"/>
      <c r="AN55" s="34"/>
      <c r="AO55" s="34"/>
    </row>
    <row r="56" spans="1:41" ht="12.75">
      <c r="A56" s="37">
        <f t="shared" si="15"/>
        <v>2024</v>
      </c>
      <c r="B56" s="38">
        <f t="shared" si="11"/>
        <v>0</v>
      </c>
      <c r="C56" s="38">
        <f t="shared" si="12"/>
        <v>0</v>
      </c>
      <c r="D56" s="38">
        <f t="shared" si="13"/>
        <v>0</v>
      </c>
      <c r="E56" s="59">
        <f>IF(A56&lt;$A$30,Assmptns!$H$122,0)</f>
        <v>0</v>
      </c>
      <c r="F56" s="59">
        <f>IF(A56=$A$30-1,Assmptns!$H$9,0)</f>
        <v>0</v>
      </c>
      <c r="G56" s="38">
        <f t="shared" si="16"/>
        <v>0</v>
      </c>
      <c r="H56" s="38">
        <f t="shared" si="17"/>
        <v>0</v>
      </c>
      <c r="I56" s="38">
        <f t="shared" si="10"/>
        <v>0</v>
      </c>
      <c r="J56" s="38">
        <f t="shared" si="18"/>
        <v>0</v>
      </c>
      <c r="L56" s="59"/>
      <c r="AA56" s="25"/>
      <c r="AB56" s="25"/>
      <c r="AC56" s="25"/>
      <c r="AD56" s="25"/>
      <c r="AI56" s="25"/>
      <c r="AJ56" s="34"/>
      <c r="AK56" s="34"/>
      <c r="AL56" s="34"/>
      <c r="AM56" s="34"/>
      <c r="AN56" s="34"/>
      <c r="AO56" s="34"/>
    </row>
    <row r="57" spans="1:41" ht="12.75">
      <c r="A57" s="37">
        <f t="shared" si="15"/>
        <v>2025</v>
      </c>
      <c r="B57" s="38">
        <f t="shared" si="11"/>
        <v>0</v>
      </c>
      <c r="C57" s="38">
        <f t="shared" si="12"/>
        <v>0</v>
      </c>
      <c r="D57" s="38">
        <f t="shared" si="13"/>
        <v>0</v>
      </c>
      <c r="E57" s="59">
        <f>IF(A57&lt;$A$30,Assmptns!$H$122,0)</f>
        <v>0</v>
      </c>
      <c r="F57" s="59">
        <f>IF(A57=$A$30-1,Assmptns!$H$9,0)</f>
        <v>0</v>
      </c>
      <c r="G57" s="38">
        <f t="shared" si="16"/>
        <v>0</v>
      </c>
      <c r="H57" s="38">
        <f t="shared" si="17"/>
        <v>0</v>
      </c>
      <c r="I57" s="38">
        <f t="shared" si="10"/>
        <v>0</v>
      </c>
      <c r="J57" s="38">
        <f t="shared" si="18"/>
        <v>0</v>
      </c>
      <c r="L57" s="59"/>
      <c r="AA57" s="25"/>
      <c r="AB57" s="25"/>
      <c r="AC57" s="25"/>
      <c r="AD57" s="25"/>
      <c r="AI57" s="25"/>
      <c r="AJ57" s="34"/>
      <c r="AK57" s="34"/>
      <c r="AL57" s="34"/>
      <c r="AM57" s="34"/>
      <c r="AN57" s="34"/>
      <c r="AO57" s="34"/>
    </row>
    <row r="58" spans="1:41" ht="12.75">
      <c r="A58" s="37">
        <f t="shared" si="15"/>
        <v>2026</v>
      </c>
      <c r="B58" s="38">
        <f t="shared" si="11"/>
        <v>0</v>
      </c>
      <c r="C58" s="38">
        <f t="shared" si="12"/>
        <v>0</v>
      </c>
      <c r="D58" s="38">
        <f t="shared" si="13"/>
        <v>0</v>
      </c>
      <c r="E58" s="59">
        <f>IF(A58&lt;$A$30,Assmptns!$H$122,0)</f>
        <v>0</v>
      </c>
      <c r="F58" s="59">
        <f>IF(A58=$A$30-1,Assmptns!$H$9,0)</f>
        <v>0</v>
      </c>
      <c r="G58" s="38">
        <f t="shared" si="16"/>
        <v>0</v>
      </c>
      <c r="H58" s="38">
        <f t="shared" si="17"/>
        <v>0</v>
      </c>
      <c r="I58" s="38">
        <f t="shared" si="10"/>
        <v>0</v>
      </c>
      <c r="J58" s="38">
        <f t="shared" si="18"/>
        <v>0</v>
      </c>
      <c r="L58" s="59"/>
      <c r="AA58" s="25"/>
      <c r="AB58" s="25"/>
      <c r="AC58" s="25"/>
      <c r="AD58" s="25"/>
      <c r="AI58" s="25"/>
      <c r="AJ58" s="34"/>
      <c r="AK58" s="34"/>
      <c r="AL58" s="34"/>
      <c r="AM58" s="34"/>
      <c r="AN58" s="34"/>
      <c r="AO58" s="34"/>
    </row>
    <row r="59" spans="1:41" ht="12.75">
      <c r="A59" s="37">
        <f t="shared" si="15"/>
        <v>2027</v>
      </c>
      <c r="B59" s="38">
        <f t="shared" si="11"/>
        <v>0</v>
      </c>
      <c r="C59" s="38">
        <f t="shared" si="12"/>
        <v>0</v>
      </c>
      <c r="D59" s="38">
        <f t="shared" si="13"/>
        <v>0</v>
      </c>
      <c r="E59" s="59">
        <f>IF(A59&lt;$A$30,Assmptns!$H$122,0)</f>
        <v>0</v>
      </c>
      <c r="F59" s="59">
        <f>IF(A59=$A$30-1,Assmptns!$H$9,0)</f>
        <v>0</v>
      </c>
      <c r="G59" s="38">
        <f t="shared" si="16"/>
        <v>0</v>
      </c>
      <c r="H59" s="38">
        <f t="shared" si="17"/>
        <v>0</v>
      </c>
      <c r="I59" s="38">
        <f t="shared" si="10"/>
        <v>0</v>
      </c>
      <c r="J59" s="38">
        <f t="shared" si="18"/>
        <v>0</v>
      </c>
      <c r="L59" s="59"/>
      <c r="AA59" s="25"/>
      <c r="AB59" s="25"/>
      <c r="AC59" s="25"/>
      <c r="AD59" s="25"/>
      <c r="AI59" s="25"/>
      <c r="AJ59" s="34"/>
      <c r="AK59" s="34"/>
      <c r="AL59" s="34"/>
      <c r="AM59" s="34"/>
      <c r="AN59" s="34"/>
      <c r="AO59" s="34"/>
    </row>
    <row r="60" spans="1:41" ht="12.75">
      <c r="A60" s="37">
        <f t="shared" si="15"/>
        <v>2028</v>
      </c>
      <c r="B60" s="38">
        <f t="shared" si="11"/>
        <v>0</v>
      </c>
      <c r="C60" s="38">
        <f t="shared" si="12"/>
        <v>0</v>
      </c>
      <c r="D60" s="38">
        <f t="shared" si="13"/>
        <v>0</v>
      </c>
      <c r="E60" s="59">
        <f>IF(A60&lt;$A$30,Assmptns!$H$122,0)</f>
        <v>0</v>
      </c>
      <c r="F60" s="59">
        <f>IF(A60=$A$30-1,Assmptns!$H$9,0)</f>
        <v>0</v>
      </c>
      <c r="G60" s="38">
        <f t="shared" si="16"/>
        <v>0</v>
      </c>
      <c r="H60" s="38">
        <f t="shared" si="17"/>
        <v>0</v>
      </c>
      <c r="I60" s="38">
        <f t="shared" si="10"/>
        <v>0</v>
      </c>
      <c r="J60" s="38">
        <f t="shared" si="18"/>
        <v>0</v>
      </c>
      <c r="L60" s="59"/>
      <c r="AA60" s="25"/>
      <c r="AB60" s="25"/>
      <c r="AC60" s="25"/>
      <c r="AD60" s="25"/>
      <c r="AI60" s="25"/>
      <c r="AJ60" s="34"/>
      <c r="AK60" s="34"/>
      <c r="AL60" s="34"/>
      <c r="AM60" s="34"/>
      <c r="AN60" s="34"/>
      <c r="AO60" s="34"/>
    </row>
    <row r="61" spans="1:41" ht="12.75">
      <c r="A61" s="37">
        <f t="shared" si="15"/>
        <v>2029</v>
      </c>
      <c r="B61" s="38">
        <f t="shared" si="11"/>
        <v>0</v>
      </c>
      <c r="C61" s="38">
        <f t="shared" si="12"/>
        <v>0</v>
      </c>
      <c r="D61" s="38">
        <f t="shared" si="13"/>
        <v>0</v>
      </c>
      <c r="E61" s="59">
        <f>IF(A61&lt;$A$30,Assmptns!$H$122,0)</f>
        <v>0</v>
      </c>
      <c r="F61" s="59">
        <f>IF(A61=$A$30-1,Assmptns!$H$9,0)</f>
        <v>0</v>
      </c>
      <c r="G61" s="38">
        <f t="shared" si="16"/>
        <v>0</v>
      </c>
      <c r="H61" s="38">
        <f t="shared" si="17"/>
        <v>0</v>
      </c>
      <c r="I61" s="38">
        <f t="shared" si="10"/>
        <v>0</v>
      </c>
      <c r="J61" s="38">
        <f t="shared" si="18"/>
        <v>0</v>
      </c>
      <c r="L61" s="59"/>
      <c r="AA61" s="25"/>
      <c r="AB61" s="25"/>
      <c r="AC61" s="25"/>
      <c r="AD61" s="25"/>
      <c r="AI61" s="25"/>
      <c r="AJ61" s="34"/>
      <c r="AK61" s="34"/>
      <c r="AL61" s="34"/>
      <c r="AM61" s="34"/>
      <c r="AN61" s="34"/>
      <c r="AO61" s="34"/>
    </row>
    <row r="62" spans="1:41" ht="12.75">
      <c r="A62" s="13"/>
      <c r="B62" s="36" t="s">
        <v>76</v>
      </c>
      <c r="C62" s="36" t="s">
        <v>76</v>
      </c>
      <c r="D62" s="36" t="s">
        <v>76</v>
      </c>
      <c r="G62" s="36" t="s">
        <v>76</v>
      </c>
      <c r="H62" s="36" t="s">
        <v>76</v>
      </c>
      <c r="I62" s="36" t="s">
        <v>76</v>
      </c>
      <c r="J62" s="36" t="s">
        <v>76</v>
      </c>
      <c r="AA62" s="25"/>
      <c r="AB62" s="25"/>
      <c r="AC62" s="25"/>
      <c r="AD62" s="25"/>
      <c r="AI62" s="25"/>
      <c r="AJ62" s="34"/>
      <c r="AK62" s="34"/>
      <c r="AL62" s="34"/>
      <c r="AM62" s="34"/>
      <c r="AN62" s="34"/>
      <c r="AO62" s="34"/>
    </row>
    <row r="63" spans="1:41" ht="12.75">
      <c r="A63" s="35" t="s">
        <v>77</v>
      </c>
      <c r="B63" s="38">
        <f>SUM(B36:B61)</f>
        <v>100000</v>
      </c>
      <c r="C63" s="38">
        <f>SUM(C36:C61)</f>
        <v>27631.95851762177</v>
      </c>
      <c r="D63" s="38">
        <f>SUM(D36:D61)</f>
        <v>160000</v>
      </c>
      <c r="G63" s="38">
        <f>SUM(G36:G61)</f>
        <v>-68831.46037059453</v>
      </c>
      <c r="H63" s="38">
        <f>SUM(H36:H61)</f>
        <v>-335325.8414823781</v>
      </c>
      <c r="I63" s="38">
        <f>SUM(I36:I61)</f>
        <v>-266494.3811117835</v>
      </c>
      <c r="J63" s="38">
        <f>SUM(J35:J61)</f>
        <v>-52089.74997240251</v>
      </c>
      <c r="L63" s="38"/>
      <c r="AA63" s="25"/>
      <c r="AB63" s="25"/>
      <c r="AC63" s="25"/>
      <c r="AD63" s="25"/>
      <c r="AI63" s="25"/>
      <c r="AJ63" s="34"/>
      <c r="AK63" s="34"/>
      <c r="AL63" s="34"/>
      <c r="AM63" s="34"/>
      <c r="AN63" s="34"/>
      <c r="AO63" s="34"/>
    </row>
    <row r="64" spans="1:41" ht="12.75">
      <c r="A64" s="14" t="s">
        <v>78</v>
      </c>
      <c r="B64" s="13"/>
      <c r="C64" s="13"/>
      <c r="D64" s="13"/>
      <c r="G64" s="13"/>
      <c r="H64" s="13"/>
      <c r="I64" s="13"/>
      <c r="J64" s="13"/>
      <c r="AA64" s="25"/>
      <c r="AB64" s="25"/>
      <c r="AC64" s="25"/>
      <c r="AD64" s="25"/>
      <c r="AI64" s="25"/>
      <c r="AJ64" s="34"/>
      <c r="AK64" s="34"/>
      <c r="AL64" s="34"/>
      <c r="AM64" s="34"/>
      <c r="AN64" s="34"/>
      <c r="AO64" s="34"/>
    </row>
    <row r="65" spans="8:41" ht="12.75">
      <c r="H65" s="63" t="s">
        <v>145</v>
      </c>
      <c r="I65" s="63" t="s">
        <v>145</v>
      </c>
      <c r="J65" s="76"/>
      <c r="AA65" s="25"/>
      <c r="AI65" s="25"/>
      <c r="AJ65" s="34"/>
      <c r="AK65" s="34"/>
      <c r="AL65" s="34"/>
      <c r="AM65" s="34"/>
      <c r="AN65" s="34"/>
      <c r="AO65" s="34"/>
    </row>
    <row r="66" spans="8:41" ht="12.75">
      <c r="H66" s="116" t="s">
        <v>138</v>
      </c>
      <c r="I66" s="116" t="s">
        <v>139</v>
      </c>
      <c r="L66" s="76"/>
      <c r="M66" s="76"/>
      <c r="AA66" s="25"/>
      <c r="AJ66" s="34"/>
      <c r="AK66" s="34"/>
      <c r="AL66" s="34"/>
      <c r="AM66" s="34"/>
      <c r="AN66" s="34"/>
      <c r="AO66" s="34"/>
    </row>
    <row r="67" spans="5:41" ht="12.75">
      <c r="E67" s="76"/>
      <c r="H67" s="115">
        <f>IRR(H35:H61,0.1)</f>
        <v>0.15270793626260054</v>
      </c>
      <c r="I67" s="115">
        <f>IRR(I35:I61,0.2)</f>
        <v>0.1471732589508708</v>
      </c>
      <c r="AA67" s="25"/>
      <c r="AJ67" s="34"/>
      <c r="AK67" s="34"/>
      <c r="AL67" s="34"/>
      <c r="AM67" s="34"/>
      <c r="AN67" s="34"/>
      <c r="AO67" s="34"/>
    </row>
    <row r="68" spans="27:41" ht="12.75">
      <c r="AA68" s="25"/>
      <c r="AJ68" s="34"/>
      <c r="AK68" s="34"/>
      <c r="AL68" s="34"/>
      <c r="AM68" s="34"/>
      <c r="AN68" s="34"/>
      <c r="AO68" s="34"/>
    </row>
    <row r="69" spans="27:41" ht="12.75">
      <c r="AA69" s="25"/>
      <c r="AJ69" s="34"/>
      <c r="AK69" s="34"/>
      <c r="AL69" s="34"/>
      <c r="AM69" s="34"/>
      <c r="AN69" s="34"/>
      <c r="AO69" s="34"/>
    </row>
    <row r="70" spans="2:41" ht="12.75">
      <c r="B70" s="59"/>
      <c r="C70" s="111"/>
      <c r="D70" s="111"/>
      <c r="E70" s="59"/>
      <c r="F70" s="111"/>
      <c r="AA70" s="25"/>
      <c r="AJ70" s="34"/>
      <c r="AK70" s="34"/>
      <c r="AL70" s="34"/>
      <c r="AM70" s="34"/>
      <c r="AN70" s="34"/>
      <c r="AO70" s="34"/>
    </row>
    <row r="71" spans="2:6" ht="12.75">
      <c r="B71" s="59"/>
      <c r="C71" s="111"/>
      <c r="D71" s="111"/>
      <c r="E71" s="59"/>
      <c r="F71" s="111"/>
    </row>
    <row r="72" spans="2:6" ht="12.75">
      <c r="B72" s="59"/>
      <c r="C72" s="111"/>
      <c r="D72" s="111"/>
      <c r="E72" s="59"/>
      <c r="F72" s="111"/>
    </row>
    <row r="73" spans="2:6" ht="12.75">
      <c r="B73" s="59"/>
      <c r="C73" s="111"/>
      <c r="D73" s="111"/>
      <c r="E73" s="59"/>
      <c r="F73" s="111"/>
    </row>
    <row r="74" spans="2:6" ht="12.75">
      <c r="B74" s="59"/>
      <c r="C74" s="111"/>
      <c r="D74" s="111"/>
      <c r="E74" s="59"/>
      <c r="F74" s="111"/>
    </row>
    <row r="75" spans="2:6" ht="12.75">
      <c r="B75" s="59"/>
      <c r="C75" s="111"/>
      <c r="D75" s="111"/>
      <c r="E75" s="59"/>
      <c r="F75" s="111"/>
    </row>
    <row r="76" spans="2:6" ht="12.75">
      <c r="B76" s="59"/>
      <c r="C76" s="111"/>
      <c r="D76" s="111"/>
      <c r="E76" s="59"/>
      <c r="F76" s="111"/>
    </row>
    <row r="77" spans="2:6" ht="12.75">
      <c r="B77" s="59"/>
      <c r="C77" s="111"/>
      <c r="D77" s="111"/>
      <c r="E77" s="59"/>
      <c r="F77" s="111"/>
    </row>
    <row r="78" spans="2:6" ht="12.75">
      <c r="B78" s="59"/>
      <c r="C78" s="111"/>
      <c r="D78" s="111"/>
      <c r="E78" s="59"/>
      <c r="F78" s="111"/>
    </row>
    <row r="79" spans="2:6" ht="12.75">
      <c r="B79" s="59"/>
      <c r="C79" s="111"/>
      <c r="D79" s="111"/>
      <c r="E79" s="59"/>
      <c r="F79" s="111"/>
    </row>
    <row r="80" spans="2:6" ht="12.75">
      <c r="B80" s="59"/>
      <c r="C80" s="111"/>
      <c r="D80" s="111"/>
      <c r="E80" s="59"/>
      <c r="F80" s="111"/>
    </row>
    <row r="81" spans="2:6" ht="12.75">
      <c r="B81" s="59"/>
      <c r="C81" s="111"/>
      <c r="D81" s="111"/>
      <c r="E81" s="59"/>
      <c r="F81" s="111"/>
    </row>
    <row r="82" spans="2:6" ht="12.75">
      <c r="B82" s="59"/>
      <c r="C82" s="111"/>
      <c r="D82" s="111"/>
      <c r="E82" s="59"/>
      <c r="F82" s="111"/>
    </row>
    <row r="83" spans="2:6" ht="12.75">
      <c r="B83" s="59"/>
      <c r="C83" s="111"/>
      <c r="D83" s="111"/>
      <c r="E83" s="59"/>
      <c r="F83" s="111"/>
    </row>
    <row r="84" spans="2:6" ht="12.75">
      <c r="B84" s="59"/>
      <c r="C84" s="111"/>
      <c r="D84" s="111"/>
      <c r="E84" s="59"/>
      <c r="F84" s="111"/>
    </row>
    <row r="85" spans="2:6" ht="12.75">
      <c r="B85" s="59"/>
      <c r="C85" s="111"/>
      <c r="D85" s="111"/>
      <c r="E85" s="59"/>
      <c r="F85" s="111"/>
    </row>
    <row r="86" spans="2:8" ht="12.75">
      <c r="B86" s="59"/>
      <c r="C86" s="111"/>
      <c r="D86" s="111"/>
      <c r="E86" s="59"/>
      <c r="F86" s="111"/>
      <c r="G86" s="13"/>
      <c r="H86" s="13"/>
    </row>
    <row r="87" spans="2:8" ht="12.75">
      <c r="B87" s="59"/>
      <c r="C87" s="111"/>
      <c r="D87" s="111"/>
      <c r="E87" s="59"/>
      <c r="F87" s="111"/>
      <c r="G87" s="13"/>
      <c r="H87" s="14" t="s">
        <v>61</v>
      </c>
    </row>
    <row r="88" spans="2:8" ht="12.75">
      <c r="B88" s="59"/>
      <c r="C88" s="111"/>
      <c r="D88" s="111"/>
      <c r="E88" s="59"/>
      <c r="F88" s="111"/>
      <c r="G88" s="13"/>
      <c r="H88" s="13"/>
    </row>
    <row r="89" spans="2:8" ht="12.75">
      <c r="B89" s="59"/>
      <c r="C89" s="111"/>
      <c r="D89" s="111"/>
      <c r="E89" s="59"/>
      <c r="F89" s="111"/>
      <c r="G89" s="13"/>
      <c r="H89" s="13"/>
    </row>
    <row r="90" spans="2:8" ht="12.75">
      <c r="B90" s="59"/>
      <c r="C90" s="111"/>
      <c r="D90" s="111"/>
      <c r="E90" s="59"/>
      <c r="F90" s="111"/>
      <c r="G90" s="13"/>
      <c r="H90" s="13"/>
    </row>
    <row r="91" spans="2:8" ht="12.75">
      <c r="B91" s="59"/>
      <c r="C91" s="111"/>
      <c r="D91" s="111"/>
      <c r="E91" s="59"/>
      <c r="F91" s="111"/>
      <c r="G91" s="13"/>
      <c r="H91" s="21"/>
    </row>
    <row r="92" spans="2:8" ht="12.75">
      <c r="B92" s="59"/>
      <c r="C92" s="111"/>
      <c r="D92" s="111"/>
      <c r="E92" s="59"/>
      <c r="F92" s="111"/>
      <c r="G92" s="13"/>
      <c r="H92" s="14"/>
    </row>
    <row r="93" spans="2:8" ht="12.75">
      <c r="B93" s="59"/>
      <c r="C93" s="111"/>
      <c r="D93" s="111"/>
      <c r="E93" s="59"/>
      <c r="F93" s="111"/>
      <c r="G93" s="21"/>
      <c r="H93" s="21"/>
    </row>
    <row r="94" spans="2:8" ht="12.75">
      <c r="B94" s="59"/>
      <c r="C94" s="111"/>
      <c r="D94" s="111"/>
      <c r="E94" s="59"/>
      <c r="F94" s="111"/>
      <c r="G94" s="21"/>
      <c r="H94" s="21"/>
    </row>
    <row r="95" spans="2:8" ht="12.75">
      <c r="B95" s="59"/>
      <c r="C95" s="111"/>
      <c r="D95" s="111"/>
      <c r="E95" s="59"/>
      <c r="F95" s="111"/>
      <c r="G95" s="36"/>
      <c r="H95" s="36"/>
    </row>
    <row r="96" spans="2:8" ht="12.75">
      <c r="B96" s="38"/>
      <c r="C96" s="38"/>
      <c r="D96" s="38"/>
      <c r="E96" s="112"/>
      <c r="F96" s="76"/>
      <c r="G96" s="38"/>
      <c r="H96" s="38"/>
    </row>
    <row r="97" spans="2:8" ht="12.75">
      <c r="B97" s="38"/>
      <c r="C97" s="38"/>
      <c r="D97" s="38"/>
      <c r="E97" s="113"/>
      <c r="F97" s="111"/>
      <c r="G97" s="38"/>
      <c r="H97" s="38"/>
    </row>
    <row r="98" spans="2:8" ht="12.75">
      <c r="B98" s="38"/>
      <c r="C98" s="38"/>
      <c r="D98" s="38"/>
      <c r="E98" s="38"/>
      <c r="F98" s="38"/>
      <c r="G98" s="38"/>
      <c r="H98" s="38"/>
    </row>
    <row r="99" spans="2:8" ht="12.75">
      <c r="B99" s="38"/>
      <c r="C99" s="38"/>
      <c r="D99" s="38"/>
      <c r="E99" s="38"/>
      <c r="F99" s="38"/>
      <c r="G99" s="38"/>
      <c r="H99" s="38"/>
    </row>
    <row r="100" spans="2:8" ht="12.75">
      <c r="B100" s="38"/>
      <c r="C100" s="38"/>
      <c r="D100" s="38"/>
      <c r="E100" s="38"/>
      <c r="F100" s="38"/>
      <c r="G100" s="38"/>
      <c r="H100" s="38"/>
    </row>
    <row r="101" spans="2:8" ht="12.75">
      <c r="B101" s="38"/>
      <c r="C101" s="38"/>
      <c r="D101" s="38"/>
      <c r="E101" s="38"/>
      <c r="F101" s="38"/>
      <c r="G101" s="38"/>
      <c r="H101" s="38"/>
    </row>
    <row r="102" spans="1:8" ht="12.75">
      <c r="A102" s="37"/>
      <c r="B102" s="38"/>
      <c r="C102" s="38"/>
      <c r="D102" s="38"/>
      <c r="E102" s="38"/>
      <c r="F102" s="38"/>
      <c r="G102" s="38"/>
      <c r="H102" s="38"/>
    </row>
    <row r="103" spans="1:8" ht="12.75">
      <c r="A103" s="37"/>
      <c r="B103" s="38"/>
      <c r="C103" s="38"/>
      <c r="D103" s="38"/>
      <c r="E103" s="38"/>
      <c r="F103" s="38"/>
      <c r="G103" s="38"/>
      <c r="H103" s="38"/>
    </row>
    <row r="104" spans="1:8" ht="12.75">
      <c r="A104" s="37"/>
      <c r="B104" s="38"/>
      <c r="C104" s="38"/>
      <c r="D104" s="38"/>
      <c r="E104" s="38"/>
      <c r="F104" s="38"/>
      <c r="G104" s="38"/>
      <c r="H104" s="38"/>
    </row>
    <row r="105" spans="1:8" ht="12.75">
      <c r="A105" s="37"/>
      <c r="B105" s="38"/>
      <c r="C105" s="38"/>
      <c r="D105" s="38"/>
      <c r="E105" s="38"/>
      <c r="F105" s="38"/>
      <c r="G105" s="38"/>
      <c r="H105" s="38"/>
    </row>
    <row r="106" spans="1:8" ht="12.75">
      <c r="A106" s="37"/>
      <c r="B106" s="38"/>
      <c r="C106" s="38"/>
      <c r="D106" s="38"/>
      <c r="E106" s="38"/>
      <c r="F106" s="38"/>
      <c r="G106" s="38"/>
      <c r="H106" s="38"/>
    </row>
    <row r="107" spans="1:8" ht="12.75">
      <c r="A107" s="37"/>
      <c r="B107" s="38"/>
      <c r="C107" s="38"/>
      <c r="D107" s="38"/>
      <c r="E107" s="38"/>
      <c r="F107" s="38"/>
      <c r="G107" s="38"/>
      <c r="H107" s="38"/>
    </row>
    <row r="108" spans="1:8" ht="12.75">
      <c r="A108" s="37"/>
      <c r="B108" s="38"/>
      <c r="C108" s="38"/>
      <c r="D108" s="38"/>
      <c r="E108" s="38"/>
      <c r="F108" s="38"/>
      <c r="G108" s="38"/>
      <c r="H108" s="38"/>
    </row>
    <row r="109" spans="1:8" ht="12.75">
      <c r="A109" s="37"/>
      <c r="B109" s="38"/>
      <c r="C109" s="38"/>
      <c r="D109" s="38"/>
      <c r="E109" s="38"/>
      <c r="F109" s="38"/>
      <c r="G109" s="38"/>
      <c r="H109" s="38"/>
    </row>
    <row r="110" spans="1:8" ht="12.75">
      <c r="A110" s="37"/>
      <c r="B110" s="38"/>
      <c r="C110" s="38"/>
      <c r="D110" s="38"/>
      <c r="E110" s="38"/>
      <c r="F110" s="38"/>
      <c r="G110" s="38"/>
      <c r="H110" s="38"/>
    </row>
    <row r="111" spans="1:8" ht="12.75">
      <c r="A111" s="37"/>
      <c r="B111" s="38"/>
      <c r="C111" s="38"/>
      <c r="D111" s="38"/>
      <c r="E111" s="38"/>
      <c r="F111" s="38"/>
      <c r="G111" s="38"/>
      <c r="H111" s="38"/>
    </row>
    <row r="112" spans="1:8" ht="12.75">
      <c r="A112" s="37"/>
      <c r="B112" s="38"/>
      <c r="C112" s="38"/>
      <c r="D112" s="38"/>
      <c r="E112" s="38"/>
      <c r="F112" s="38"/>
      <c r="G112" s="38"/>
      <c r="H112" s="38"/>
    </row>
    <row r="113" spans="1:8" ht="12.75">
      <c r="A113" s="37"/>
      <c r="B113" s="38"/>
      <c r="C113" s="38"/>
      <c r="D113" s="38"/>
      <c r="E113" s="38"/>
      <c r="F113" s="38"/>
      <c r="G113" s="38"/>
      <c r="H113" s="38"/>
    </row>
    <row r="114" spans="1:8" ht="12.75">
      <c r="A114" s="37"/>
      <c r="B114" s="38"/>
      <c r="C114" s="38"/>
      <c r="D114" s="38"/>
      <c r="E114" s="38"/>
      <c r="F114" s="38"/>
      <c r="G114" s="38"/>
      <c r="H114" s="38"/>
    </row>
    <row r="115" spans="1:8" ht="12.75">
      <c r="A115" s="37"/>
      <c r="B115" s="38"/>
      <c r="C115" s="38"/>
      <c r="D115" s="38"/>
      <c r="E115" s="38"/>
      <c r="F115" s="38"/>
      <c r="G115" s="38"/>
      <c r="H115" s="38"/>
    </row>
    <row r="116" spans="1:8" ht="12.75">
      <c r="A116" s="13"/>
      <c r="B116" s="36"/>
      <c r="C116" s="36"/>
      <c r="D116" s="36"/>
      <c r="E116" s="36"/>
      <c r="F116" s="36"/>
      <c r="G116" s="36"/>
      <c r="H116" s="36"/>
    </row>
    <row r="117" spans="1:8" ht="12.75">
      <c r="A117" s="35"/>
      <c r="B117" s="38"/>
      <c r="C117" s="38"/>
      <c r="D117" s="38"/>
      <c r="E117" s="38"/>
      <c r="F117" s="38"/>
      <c r="G117" s="38"/>
      <c r="H117" s="38"/>
    </row>
    <row r="118" spans="1:8" ht="12.75">
      <c r="A118" s="14"/>
      <c r="B118" s="13"/>
      <c r="C118" s="13"/>
      <c r="D118" s="13"/>
      <c r="E118" s="13"/>
      <c r="F118" s="13"/>
      <c r="G118" s="13"/>
      <c r="H118" s="13"/>
    </row>
    <row r="119" spans="1:8" ht="12.75">
      <c r="A119" s="13"/>
      <c r="B119" s="13"/>
      <c r="C119" s="13"/>
      <c r="D119" s="38"/>
      <c r="E119" s="13"/>
      <c r="F119" s="13"/>
      <c r="G119" s="13"/>
      <c r="H119" s="38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4"/>
      <c r="B121" s="13"/>
      <c r="C121" s="13"/>
      <c r="D121" s="13"/>
      <c r="E121" s="13"/>
      <c r="F121" s="13"/>
      <c r="G121" s="13"/>
      <c r="H121" s="13"/>
    </row>
    <row r="122" spans="1:8" ht="12.75">
      <c r="A122" s="14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4"/>
      <c r="G123" s="13"/>
      <c r="H123" s="21"/>
    </row>
    <row r="124" spans="1:8" ht="12.75">
      <c r="A124" s="13"/>
      <c r="B124" s="21"/>
      <c r="C124" s="13"/>
      <c r="D124" s="13"/>
      <c r="E124" s="21"/>
      <c r="F124" s="14"/>
      <c r="G124" s="13"/>
      <c r="H124" s="14"/>
    </row>
    <row r="125" spans="1:8" ht="12.75">
      <c r="A125" s="13"/>
      <c r="B125" s="21"/>
      <c r="C125" s="21"/>
      <c r="D125" s="35"/>
      <c r="E125" s="21"/>
      <c r="F125" s="21"/>
      <c r="G125" s="21"/>
      <c r="H125" s="21"/>
    </row>
    <row r="126" spans="1:8" ht="12.75">
      <c r="A126" s="35"/>
      <c r="B126" s="35"/>
      <c r="C126" s="35"/>
      <c r="D126" s="21"/>
      <c r="E126" s="35"/>
      <c r="F126" s="21"/>
      <c r="G126" s="21"/>
      <c r="H126" s="21"/>
    </row>
    <row r="127" spans="1:8" ht="12.75">
      <c r="A127" s="36"/>
      <c r="B127" s="36"/>
      <c r="C127" s="36"/>
      <c r="D127" s="36"/>
      <c r="E127" s="36"/>
      <c r="F127" s="36"/>
      <c r="G127" s="36"/>
      <c r="H127" s="36"/>
    </row>
    <row r="128" spans="1:8" ht="12.75">
      <c r="A128" s="37"/>
      <c r="B128" s="38"/>
      <c r="C128" s="38"/>
      <c r="D128" s="38"/>
      <c r="E128" s="38"/>
      <c r="F128" s="38"/>
      <c r="G128" s="38"/>
      <c r="H128" s="38"/>
    </row>
    <row r="129" spans="1:8" ht="12.75">
      <c r="A129" s="37"/>
      <c r="B129" s="38"/>
      <c r="C129" s="38"/>
      <c r="D129" s="38"/>
      <c r="E129" s="38"/>
      <c r="F129" s="38"/>
      <c r="G129" s="38"/>
      <c r="H129" s="38"/>
    </row>
    <row r="130" spans="1:8" ht="12.75">
      <c r="A130" s="37"/>
      <c r="B130" s="38"/>
      <c r="C130" s="38"/>
      <c r="D130" s="38"/>
      <c r="E130" s="38"/>
      <c r="F130" s="38"/>
      <c r="G130" s="38"/>
      <c r="H130" s="38"/>
    </row>
    <row r="131" spans="1:8" ht="12.75">
      <c r="A131" s="37"/>
      <c r="B131" s="38"/>
      <c r="C131" s="38"/>
      <c r="D131" s="38"/>
      <c r="E131" s="38"/>
      <c r="F131" s="38"/>
      <c r="G131" s="38"/>
      <c r="H131" s="38"/>
    </row>
    <row r="132" spans="1:8" ht="12.75">
      <c r="A132" s="37"/>
      <c r="B132" s="38"/>
      <c r="C132" s="38"/>
      <c r="D132" s="38"/>
      <c r="E132" s="38"/>
      <c r="F132" s="38"/>
      <c r="G132" s="38"/>
      <c r="H132" s="38"/>
    </row>
    <row r="133" spans="1:8" ht="12.75">
      <c r="A133" s="37"/>
      <c r="B133" s="38"/>
      <c r="C133" s="38"/>
      <c r="D133" s="38"/>
      <c r="E133" s="38"/>
      <c r="F133" s="38"/>
      <c r="G133" s="38"/>
      <c r="H133" s="38"/>
    </row>
    <row r="134" spans="1:8" ht="12.75">
      <c r="A134" s="37"/>
      <c r="B134" s="38"/>
      <c r="C134" s="38"/>
      <c r="D134" s="38"/>
      <c r="E134" s="38"/>
      <c r="F134" s="38"/>
      <c r="G134" s="38"/>
      <c r="H134" s="38"/>
    </row>
    <row r="135" spans="1:8" ht="12.75">
      <c r="A135" s="37"/>
      <c r="B135" s="38"/>
      <c r="C135" s="38"/>
      <c r="D135" s="38"/>
      <c r="E135" s="38"/>
      <c r="F135" s="38"/>
      <c r="G135" s="38"/>
      <c r="H135" s="38"/>
    </row>
    <row r="136" spans="1:8" ht="12.75">
      <c r="A136" s="37"/>
      <c r="B136" s="38"/>
      <c r="C136" s="38"/>
      <c r="D136" s="38"/>
      <c r="E136" s="38"/>
      <c r="F136" s="38"/>
      <c r="G136" s="38"/>
      <c r="H136" s="38"/>
    </row>
    <row r="137" spans="1:8" ht="12.75">
      <c r="A137" s="37"/>
      <c r="B137" s="38"/>
      <c r="C137" s="38"/>
      <c r="D137" s="38"/>
      <c r="E137" s="38"/>
      <c r="F137" s="38"/>
      <c r="G137" s="38"/>
      <c r="H137" s="38"/>
    </row>
    <row r="138" spans="1:8" ht="12.75">
      <c r="A138" s="37"/>
      <c r="B138" s="38"/>
      <c r="C138" s="38"/>
      <c r="D138" s="38"/>
      <c r="E138" s="38"/>
      <c r="F138" s="38"/>
      <c r="G138" s="38"/>
      <c r="H138" s="38"/>
    </row>
    <row r="139" spans="1:8" ht="12.75">
      <c r="A139" s="37"/>
      <c r="B139" s="38"/>
      <c r="C139" s="38"/>
      <c r="D139" s="38"/>
      <c r="E139" s="38"/>
      <c r="F139" s="38"/>
      <c r="G139" s="38"/>
      <c r="H139" s="38"/>
    </row>
    <row r="140" spans="1:8" ht="12.75">
      <c r="A140" s="37"/>
      <c r="B140" s="38"/>
      <c r="C140" s="38"/>
      <c r="D140" s="38"/>
      <c r="E140" s="38"/>
      <c r="F140" s="38"/>
      <c r="G140" s="38"/>
      <c r="H140" s="38"/>
    </row>
    <row r="141" spans="1:8" ht="12.75">
      <c r="A141" s="37"/>
      <c r="B141" s="38"/>
      <c r="C141" s="38"/>
      <c r="D141" s="38"/>
      <c r="E141" s="38"/>
      <c r="F141" s="38"/>
      <c r="G141" s="38"/>
      <c r="H141" s="38"/>
    </row>
    <row r="142" spans="1:8" ht="12.75">
      <c r="A142" s="37"/>
      <c r="B142" s="38"/>
      <c r="C142" s="38"/>
      <c r="D142" s="38"/>
      <c r="E142" s="38"/>
      <c r="F142" s="38"/>
      <c r="G142" s="38"/>
      <c r="H142" s="38"/>
    </row>
    <row r="143" spans="1:8" ht="12.75">
      <c r="A143" s="37"/>
      <c r="B143" s="38"/>
      <c r="C143" s="38"/>
      <c r="D143" s="38"/>
      <c r="E143" s="38"/>
      <c r="F143" s="38"/>
      <c r="G143" s="38"/>
      <c r="H143" s="38"/>
    </row>
    <row r="144" spans="1:8" ht="12.75">
      <c r="A144" s="37"/>
      <c r="B144" s="38"/>
      <c r="C144" s="38"/>
      <c r="D144" s="38"/>
      <c r="E144" s="38"/>
      <c r="F144" s="38"/>
      <c r="G144" s="38"/>
      <c r="H144" s="38"/>
    </row>
    <row r="145" spans="1:8" ht="12.75">
      <c r="A145" s="37"/>
      <c r="B145" s="38"/>
      <c r="C145" s="38"/>
      <c r="D145" s="38"/>
      <c r="E145" s="38"/>
      <c r="F145" s="38"/>
      <c r="G145" s="38"/>
      <c r="H145" s="38"/>
    </row>
    <row r="146" spans="1:8" ht="12.75">
      <c r="A146" s="37"/>
      <c r="B146" s="38"/>
      <c r="C146" s="38"/>
      <c r="D146" s="38"/>
      <c r="E146" s="38"/>
      <c r="F146" s="38"/>
      <c r="G146" s="38"/>
      <c r="H146" s="38"/>
    </row>
    <row r="147" spans="1:8" ht="12.75">
      <c r="A147" s="37"/>
      <c r="B147" s="38"/>
      <c r="C147" s="38"/>
      <c r="D147" s="38"/>
      <c r="E147" s="38"/>
      <c r="F147" s="38"/>
      <c r="G147" s="38"/>
      <c r="H147" s="38"/>
    </row>
    <row r="148" spans="1:8" ht="12.75">
      <c r="A148" s="37"/>
      <c r="B148" s="38"/>
      <c r="C148" s="38"/>
      <c r="D148" s="38"/>
      <c r="E148" s="38"/>
      <c r="F148" s="38"/>
      <c r="G148" s="38"/>
      <c r="H148" s="38"/>
    </row>
    <row r="149" spans="1:8" ht="12.75">
      <c r="A149" s="37"/>
      <c r="B149" s="38"/>
      <c r="C149" s="38"/>
      <c r="D149" s="38"/>
      <c r="E149" s="38"/>
      <c r="F149" s="38"/>
      <c r="G149" s="38"/>
      <c r="H149" s="38"/>
    </row>
    <row r="150" spans="1:8" ht="12.75">
      <c r="A150" s="37"/>
      <c r="B150" s="38"/>
      <c r="C150" s="38"/>
      <c r="D150" s="38"/>
      <c r="E150" s="38"/>
      <c r="F150" s="38"/>
      <c r="G150" s="38"/>
      <c r="H150" s="38"/>
    </row>
    <row r="151" spans="1:8" ht="12.75">
      <c r="A151" s="37"/>
      <c r="B151" s="38"/>
      <c r="C151" s="38"/>
      <c r="D151" s="38"/>
      <c r="E151" s="38"/>
      <c r="F151" s="38"/>
      <c r="G151" s="38"/>
      <c r="H151" s="38"/>
    </row>
    <row r="152" spans="1:8" ht="12.75">
      <c r="A152" s="37"/>
      <c r="B152" s="38"/>
      <c r="C152" s="38"/>
      <c r="D152" s="38"/>
      <c r="E152" s="38"/>
      <c r="F152" s="38"/>
      <c r="G152" s="38"/>
      <c r="H152" s="38"/>
    </row>
    <row r="153" spans="1:8" ht="12.75">
      <c r="A153" s="37"/>
      <c r="B153" s="38"/>
      <c r="C153" s="38"/>
      <c r="D153" s="38"/>
      <c r="E153" s="38"/>
      <c r="F153" s="38"/>
      <c r="G153" s="38"/>
      <c r="H153" s="38"/>
    </row>
    <row r="154" spans="1:8" ht="12.75">
      <c r="A154" s="13"/>
      <c r="B154" s="36"/>
      <c r="C154" s="36"/>
      <c r="D154" s="36"/>
      <c r="E154" s="36"/>
      <c r="F154" s="36"/>
      <c r="G154" s="36"/>
      <c r="H154" s="36"/>
    </row>
    <row r="155" spans="1:8" ht="12.75">
      <c r="A155" s="35"/>
      <c r="B155" s="38"/>
      <c r="C155" s="38"/>
      <c r="D155" s="38"/>
      <c r="E155" s="38"/>
      <c r="F155" s="38"/>
      <c r="G155" s="38"/>
      <c r="H155" s="38"/>
    </row>
    <row r="156" spans="1:8" ht="12.75">
      <c r="A156" s="14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</sheetData>
  <sheetProtection/>
  <conditionalFormatting sqref="G25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hyperlinks>
    <hyperlink ref="AB12" r:id="rId1" display="=@if((AD11-AE11)&gt;0,(ad11-ae11),0)"/>
    <hyperlink ref="AC12" r:id="rId2" display="=@if((AD$9-AF13)&gt;ad13,9999,8888)"/>
    <hyperlink ref="AB13" r:id="rId3" display="=@if((AD11-AE11)&gt;0,(ad11-ae11),0)"/>
    <hyperlink ref="AB14" r:id="rId4" display="=@if((AD11-AE11)&gt;0,(ad11-ae11),0)"/>
    <hyperlink ref="AB15" r:id="rId5" display="=@if((AD11-AE11)&gt;0,(ad11-ae11),0)"/>
    <hyperlink ref="AB16" r:id="rId6" display="=@if((AD11-AE11)&gt;0,(ad11-ae11),0)"/>
    <hyperlink ref="AB17" r:id="rId7" display="=@if((AD11-AE11)&gt;0,(ad11-ae11),0)"/>
    <hyperlink ref="AB18" r:id="rId8" display="=@if((AD11-AE11)&gt;0,(ad11-ae11),0)"/>
    <hyperlink ref="AB19" r:id="rId9" display="=@if((AD11-AE11)&gt;0,(ad11-ae11),0)"/>
    <hyperlink ref="AB20" r:id="rId10" display="=@if((AD11-AE11)&gt;0,(ad11-ae11),0)"/>
    <hyperlink ref="AB21" r:id="rId11" display="=@if((AD11-AE11)&gt;0,(ad11-ae11),0)"/>
    <hyperlink ref="AB22" r:id="rId12" display="=@if((AD11-AE11)&gt;0,(ad11-ae11),0)"/>
    <hyperlink ref="AB23" r:id="rId13" display="=@if((AD11-AE11)&gt;0,(ad11-ae11),0)"/>
    <hyperlink ref="AB24" r:id="rId14" display="=@if((AD11-AE11)&gt;0,(ad11-ae11),0)"/>
    <hyperlink ref="AB25" r:id="rId15" display="=@if((AD11-AE11)&gt;0,(ad11-ae11),0)"/>
    <hyperlink ref="AB26" r:id="rId16" display="=@if((AD11-AE11)&gt;0,(ad11-ae11),0)"/>
    <hyperlink ref="AB27" r:id="rId17" display="=@if((AD11-AE11)&gt;0,(ad11-ae11),0)"/>
    <hyperlink ref="AB28" r:id="rId18" display="=@if((AD11-AE11)&gt;0,(ad11-ae11),0)"/>
    <hyperlink ref="AB29" r:id="rId19" display="=@if((AD11-AE11)&gt;0,(ad11-ae11),0)"/>
    <hyperlink ref="AB30" r:id="rId20" display="=@if((AD11-AE11)&gt;0,(ad11-ae11),0)"/>
    <hyperlink ref="AB31" r:id="rId21" display="=@if((AD11-AE11)&gt;0,(ad11-ae11),0)"/>
    <hyperlink ref="AB32" r:id="rId22" display="=@if((AD11-AE11)&gt;0,(ad11-ae11),0)"/>
    <hyperlink ref="AB33" r:id="rId23" display="=@if((AD11-AE11)&gt;0,(ad11-ae11),0)"/>
    <hyperlink ref="AB34" r:id="rId24" display="=@if((AD11-AE11)&gt;0,(ad11-ae11),0)"/>
    <hyperlink ref="AB35" r:id="rId25" display="=@if((AD11-AE11)&gt;0,(ad11-ae11),0)"/>
    <hyperlink ref="AB36" r:id="rId26" display="=@if((AD11-AE11)&gt;0,(ad11-ae11),0)"/>
    <hyperlink ref="AC13" r:id="rId27" display="=@if((AD$9-AF13)&gt;ad13,9999,8888)"/>
    <hyperlink ref="AC14" r:id="rId28" display="=@if((AD$9-AF13)&gt;ad13,9999,8888)"/>
    <hyperlink ref="AC15" r:id="rId29" display="=@if((AD$9-AF13)&gt;ad13,9999,8888)"/>
    <hyperlink ref="AC16" r:id="rId30" display="=@if((AD$9-AF13)&gt;ad13,9999,8888)"/>
    <hyperlink ref="AC17" r:id="rId31" display="=@if((AD$9-AF13)&gt;ad13,9999,8888)"/>
    <hyperlink ref="AC18" r:id="rId32" display="=@if((AD$9-AF13)&gt;ad13,9999,8888)"/>
    <hyperlink ref="AC19" r:id="rId33" display="=@if((AD$9-AF13)&gt;ad13,9999,8888)"/>
    <hyperlink ref="AC20" r:id="rId34" display="=@if((AD$9-AF13)&gt;ad13,9999,8888)"/>
    <hyperlink ref="AC21" r:id="rId35" display="=@if((AD$9-AF13)&gt;ad13,9999,8888)"/>
    <hyperlink ref="AC22" r:id="rId36" display="=@if((AD$9-AF13)&gt;ad13,9999,8888)"/>
    <hyperlink ref="AC23" r:id="rId37" display="=@if((AD$9-AF13)&gt;ad13,9999,8888)"/>
    <hyperlink ref="AC24" r:id="rId38" display="=@if((AD$9-AF13)&gt;ad13,9999,8888)"/>
    <hyperlink ref="AC25" r:id="rId39" display="=@if((AD$9-AF13)&gt;ad13,9999,8888)"/>
    <hyperlink ref="AC26" r:id="rId40" display="=@if((AD$9-AF13)&gt;ad13,9999,8888)"/>
    <hyperlink ref="AC27" r:id="rId41" display="=@if((AD$9-AF13)&gt;ad13,9999,8888)"/>
    <hyperlink ref="AC28" r:id="rId42" display="=@if((AD$9-AF13)&gt;ad13,9999,8888)"/>
    <hyperlink ref="AC29" r:id="rId43" display="=@if((AD$9-AF13)&gt;ad13,9999,8888)"/>
    <hyperlink ref="AC30" r:id="rId44" display="=@if((AD$9-AF13)&gt;ad13,9999,8888)"/>
    <hyperlink ref="AC31" r:id="rId45" display="=@if((AD$9-AF13)&gt;ad13,9999,8888)"/>
    <hyperlink ref="AC32" r:id="rId46" display="=@if((AD$9-AF13)&gt;ad13,9999,8888)"/>
    <hyperlink ref="AC33" r:id="rId47" display="=@if((AD$9-AF13)&gt;ad13,9999,8888)"/>
    <hyperlink ref="AC34" r:id="rId48" display="=@if((AD$9-AF13)&gt;ad13,9999,8888)"/>
    <hyperlink ref="AC35" r:id="rId49" display="=@if((AD$9-AF13)&gt;ad13,9999,8888)"/>
    <hyperlink ref="AC36" r:id="rId50" display="=@if((AD$9-AF13)&gt;ad13,9999,8888)"/>
  </hyperlinks>
  <printOptions/>
  <pageMargins left="0.75" right="0.75" top="1" bottom="1" header="0.5" footer="0.5"/>
  <pageSetup fitToHeight="1" fitToWidth="1" horizontalDpi="355" verticalDpi="355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Deanna</cp:lastModifiedBy>
  <cp:lastPrinted>2004-04-06T19:36:14Z</cp:lastPrinted>
  <dcterms:created xsi:type="dcterms:W3CDTF">2004-01-26T20:40:39Z</dcterms:created>
  <dcterms:modified xsi:type="dcterms:W3CDTF">2007-12-03T14:20:08Z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